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codeName="ThisWorkbook" autoCompressPictures="0"/>
  <mc:AlternateContent xmlns:mc="http://schemas.openxmlformats.org/markup-compatibility/2006">
    <mc:Choice Requires="x15">
      <x15ac:absPath xmlns:x15ac="http://schemas.microsoft.com/office/spreadsheetml/2010/11/ac" url="C:\Users\user\Desktop\"/>
    </mc:Choice>
  </mc:AlternateContent>
  <xr:revisionPtr revIDLastSave="0" documentId="13_ncr:1_{9AA7BED5-19DF-474C-A8F5-B0A0E23E062B}"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19440" windowHeight="10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 i="5" l="1"/>
  <c r="B10" i="5" l="1"/>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C22" i="5"/>
  <c r="V22" i="5" s="1"/>
  <c r="I22" i="5" s="1"/>
  <c r="B22" i="5"/>
  <c r="S22" i="5" s="1"/>
  <c r="C21" i="5"/>
  <c r="V21" i="5" s="1"/>
  <c r="B21" i="5"/>
  <c r="V20" i="5"/>
  <c r="R20" i="5" s="1"/>
  <c r="B20" i="5"/>
  <c r="T20" i="5" s="1"/>
  <c r="C19" i="5"/>
  <c r="V19" i="5" s="1"/>
  <c r="B19" i="5"/>
  <c r="T19" i="5" s="1"/>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000" i="5" l="1"/>
  <c r="T76" i="5"/>
  <c r="AB410" i="5"/>
  <c r="R480" i="5"/>
  <c r="T645" i="5"/>
  <c r="T1078" i="5"/>
  <c r="T1435" i="5"/>
  <c r="AB2402" i="5"/>
  <c r="T1491" i="5"/>
  <c r="AB299" i="5"/>
  <c r="AB902" i="5"/>
  <c r="T1244" i="5"/>
  <c r="S1398" i="5"/>
  <c r="AB1401" i="5"/>
  <c r="AB1672" i="5"/>
  <c r="S1754" i="5"/>
  <c r="T2060" i="5"/>
  <c r="AB2069" i="5"/>
  <c r="T2248" i="5"/>
  <c r="AB1071" i="5"/>
  <c r="AB1115" i="5"/>
  <c r="AB1353" i="5"/>
  <c r="E1479" i="5"/>
  <c r="X1479" i="5" s="1"/>
  <c r="AB1594" i="5"/>
  <c r="AB2465" i="5"/>
  <c r="T391" i="5"/>
  <c r="AB450" i="5"/>
  <c r="AB594" i="5"/>
  <c r="AB630" i="5"/>
  <c r="AB674" i="5"/>
  <c r="AB720" i="5"/>
  <c r="S853" i="5"/>
  <c r="S903" i="5"/>
  <c r="AB1437" i="5"/>
  <c r="S1477" i="5"/>
  <c r="AB1691" i="5"/>
  <c r="T1883" i="5"/>
  <c r="S2015" i="5"/>
  <c r="S2038" i="5"/>
  <c r="AB2088"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R1681" i="5" s="1"/>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I262" i="5" s="1"/>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R2401" i="5" s="1"/>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R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J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E1253" i="5" s="1"/>
  <c r="X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J1735" i="5"/>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E2044" i="5" s="1"/>
  <c r="X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R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J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J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V1191" i="5"/>
  <c r="S1192" i="5"/>
  <c r="I1197" i="5"/>
  <c r="F1198" i="5"/>
  <c r="E1198" i="5"/>
  <c r="X1198" i="5" s="1"/>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9" i="5"/>
  <c r="J1653" i="5"/>
  <c r="J1657" i="5"/>
  <c r="J1661" i="5"/>
  <c r="J1665" i="5"/>
  <c r="J1673" i="5"/>
  <c r="J1677" i="5"/>
  <c r="J1685" i="5"/>
  <c r="J1689" i="5"/>
  <c r="J1693"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5" i="5"/>
  <c r="R1649" i="5"/>
  <c r="R1653" i="5"/>
  <c r="R1657" i="5"/>
  <c r="R1661" i="5"/>
  <c r="R1665" i="5"/>
  <c r="R1669" i="5"/>
  <c r="R1673" i="5"/>
  <c r="R1677" i="5"/>
  <c r="R1685" i="5"/>
  <c r="R1689" i="5"/>
  <c r="R1693"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J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8" i="5"/>
  <c r="V2052" i="5"/>
  <c r="I2053" i="5"/>
  <c r="T2055" i="5"/>
  <c r="V2060" i="5"/>
  <c r="I2061" i="5"/>
  <c r="T2063" i="5"/>
  <c r="V2068" i="5"/>
  <c r="I2069"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R2069"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B9" i="5" s="1"/>
  <c r="C5" i="5" l="1"/>
  <c r="B8" i="5"/>
  <c r="B7" i="5"/>
  <c r="C6" i="5"/>
  <c r="C7" i="5"/>
  <c r="B5" i="5"/>
  <c r="B6" i="5"/>
  <c r="G2401" i="5"/>
  <c r="H2310" i="5"/>
  <c r="I2077" i="5"/>
  <c r="R2044" i="5"/>
  <c r="R1851" i="5"/>
  <c r="G1735" i="5"/>
  <c r="R1697" i="5"/>
  <c r="F1492" i="5"/>
  <c r="H1222" i="5"/>
  <c r="G1352" i="5"/>
  <c r="I1110" i="5"/>
  <c r="F799" i="5"/>
  <c r="R395" i="5"/>
  <c r="R262" i="5"/>
  <c r="R1735" i="5"/>
  <c r="G1253" i="5"/>
  <c r="F1681" i="5"/>
  <c r="H2401" i="5"/>
  <c r="R2310" i="5"/>
  <c r="H2317" i="5"/>
  <c r="R2077" i="5"/>
  <c r="E1851" i="5"/>
  <c r="X1851" i="5" s="1"/>
  <c r="H1492" i="5"/>
  <c r="H1190" i="5"/>
  <c r="H1253" i="5"/>
  <c r="G1133" i="5"/>
  <c r="J1110" i="5"/>
  <c r="H799" i="5"/>
  <c r="E395" i="5"/>
  <c r="X395" i="5" s="1"/>
  <c r="E262" i="5"/>
  <c r="X262" i="5" s="1"/>
  <c r="E1735" i="5"/>
  <c r="X1735" i="5" s="1"/>
  <c r="G1681" i="5"/>
  <c r="I2401" i="5"/>
  <c r="E2310" i="5"/>
  <c r="X2310" i="5" s="1"/>
  <c r="G2317" i="5"/>
  <c r="J2077" i="5"/>
  <c r="R1641" i="5"/>
  <c r="J1681" i="5"/>
  <c r="I1492" i="5"/>
  <c r="H1434" i="5"/>
  <c r="E1222" i="5"/>
  <c r="X1222" i="5" s="1"/>
  <c r="H602" i="5"/>
  <c r="I799" i="5"/>
  <c r="E602" i="5"/>
  <c r="X602" i="5" s="1"/>
  <c r="F262" i="5"/>
  <c r="F1735" i="5"/>
  <c r="H1681" i="5"/>
  <c r="J2401" i="5"/>
  <c r="I2317" i="5"/>
  <c r="J2161" i="5"/>
  <c r="J1434" i="5"/>
  <c r="E1434" i="5"/>
  <c r="X1434" i="5" s="1"/>
  <c r="I1381" i="5"/>
  <c r="F1385" i="5"/>
  <c r="R1253" i="5"/>
  <c r="I1352" i="5"/>
  <c r="H1385" i="5"/>
  <c r="F1222" i="5"/>
  <c r="I1133" i="5"/>
  <c r="J799" i="5"/>
  <c r="G262" i="5"/>
  <c r="H262" i="5"/>
  <c r="H1735" i="5"/>
  <c r="F91" i="5"/>
  <c r="E1681" i="5"/>
  <c r="X1681" i="5" s="1"/>
  <c r="J2317" i="5"/>
  <c r="H1851" i="5"/>
  <c r="J1701" i="5"/>
  <c r="J1641" i="5"/>
  <c r="E1381" i="5"/>
  <c r="X1381" i="5" s="1"/>
  <c r="I1385" i="5"/>
  <c r="J1385" i="5"/>
  <c r="I602" i="5"/>
  <c r="R799" i="5"/>
  <c r="H395" i="5"/>
  <c r="C9" i="6"/>
  <c r="B32" i="6"/>
  <c r="C8" i="6"/>
  <c r="C12" i="6"/>
  <c r="C11" i="6"/>
  <c r="C10" i="6"/>
  <c r="C7" i="6"/>
  <c r="C4"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H41" i="6" l="1"/>
  <c r="D41" i="6" s="1"/>
  <c r="AB5" i="5"/>
  <c r="V6" i="5"/>
  <c r="G6" i="5" s="1"/>
  <c r="AB6" i="5"/>
  <c r="V5" i="5"/>
  <c r="G5" i="5" s="1"/>
  <c r="H24" i="6"/>
  <c r="C24"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R6" i="5" l="1"/>
  <c r="I6" i="5"/>
  <c r="J6" i="5"/>
  <c r="E6" i="5"/>
  <c r="H6" i="5"/>
  <c r="F6" i="5"/>
  <c r="H5" i="5"/>
  <c r="E5" i="5"/>
  <c r="I5" i="5"/>
  <c r="J5" i="5"/>
  <c r="R5" i="5"/>
  <c r="F5" i="5"/>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17" i="5"/>
  <c r="T16" i="5"/>
  <c r="T14" i="5"/>
  <c r="T15" i="5"/>
  <c r="T13" i="5"/>
  <c r="T11" i="5"/>
  <c r="T6" i="5"/>
  <c r="T5" i="5"/>
  <c r="T8" i="5"/>
  <c r="T9" i="5"/>
  <c r="T7" i="5"/>
  <c r="X6" i="5" l="1"/>
  <c r="X5" i="5"/>
  <c r="X13" i="5"/>
  <c r="X10" i="5"/>
  <c r="D65" i="6"/>
  <c r="X9" i="5"/>
  <c r="X12" i="5"/>
  <c r="X14" i="5"/>
  <c r="X17" i="5"/>
  <c r="S17" i="5"/>
  <c r="D66" i="6"/>
  <c r="C67" i="6"/>
  <c r="X11" i="5"/>
  <c r="X15" i="5"/>
  <c r="X8" i="5"/>
  <c r="X7" i="5"/>
  <c r="G69" i="6"/>
  <c r="H69" i="6" s="1"/>
  <c r="H70" i="6" s="1"/>
  <c r="D2" i="6" s="1"/>
  <c r="X16" i="5"/>
  <c r="S16" i="5"/>
  <c r="D55" i="6"/>
  <c r="C55" i="6"/>
  <c r="D56" i="6"/>
  <c r="C56" i="6"/>
  <c r="S11" i="5"/>
  <c r="S13" i="5"/>
  <c r="S14" i="5"/>
  <c r="S10" i="5"/>
  <c r="S12" i="5"/>
  <c r="S15" i="5"/>
  <c r="S9" i="5"/>
  <c r="S5" i="5"/>
  <c r="S7" i="5"/>
  <c r="S6" i="5"/>
  <c r="S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<sst xmlns="http://schemas.openxmlformats.org/spreadsheetml/2006/main" count="21810" uniqueCount="15520">
  <si>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</si>
  <si>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</si>
  <si>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</si>
  <si>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</si>
  <si>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</si>
  <si>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</si>
  <si>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</si>
  <si>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</si>
  <si>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</si>
  <si>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</si>
  <si>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</si>
  <si>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</si>
  <si>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</si>
  <si>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</si>
  <si>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</si>
  <si>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</si>
  <si>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</si>
  <si>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</si>
  <si>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</si>
  <si>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</si>
  <si>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</si>
  <si>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</si>
  <si>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</si>
  <si>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</si>
  <si>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</si>
  <si>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</si>
  <si>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</si>
  <si>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</si>
  <si>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</si>
  <si>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</si>
  <si>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</si>
  <si>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</si>
  <si>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</si>
  <si>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</si>
  <si>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</si>
  <si>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</si>
  <si>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</si>
  <si>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</si>
  <si>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</si>
  <si>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</si>
  <si>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</si>
  <si>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</si>
  <si>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</si>
  <si>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</si>
  <si>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</si>
  <si>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</si>
  <si>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</si>
  <si>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</si>
  <si>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</si>
  <si>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</si>
  <si>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</si>
  <si>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</si>
  <si>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</si>
  <si>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</si>
  <si>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</si>
  <si>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</si>
  <si>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</si>
  <si>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</si>
  <si>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</si>
  <si>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</si>
  <si>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</si>
  <si>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</si>
  <si>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</si>
  <si>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</si>
  <si>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</si>
  <si>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</si>
  <si>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</si>
  <si>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</si>
  <si>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</si>
  <si>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</si>
  <si>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</si>
  <si>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</si>
  <si>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</si>
  <si>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</si>
  <si>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</si>
  <si>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</si>
  <si>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</si>
  <si>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</si>
  <si>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</si>
  <si>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</si>
  <si>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</si>
  <si>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</si>
  <si>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</si>
  <si>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</si>
  <si>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</si>
  <si>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</si>
  <si>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</si>
  <si>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</si>
  <si>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</si>
  <si>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</si>
  <si>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</si>
  <si>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</si>
  <si>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</si>
  <si>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</si>
  <si>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</si>
  <si>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</si>
  <si>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</si>
  <si>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</si>
  <si>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</si>
  <si>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</si>
  <si>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</si>
  <si>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</si>
  <si>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</si>
  <si>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</si>
  <si>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</si>
  <si>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</si>
  <si>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</si>
  <si>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</si>
  <si>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</si>
  <si>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</si>
  <si>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</si>
  <si>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</si>
  <si>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</si>
  <si>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</si>
  <si>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</si>
  <si>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</si>
  <si>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</si>
  <si>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</si>
  <si>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</si>
  <si>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</si>
  <si>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</si>
  <si>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</si>
  <si>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</si>
  <si>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</si>
  <si>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</si>
  <si>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</si>
  <si>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</si>
  <si>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</si>
  <si>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</si>
  <si>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</si>
  <si>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</si>
  <si>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</si>
  <si>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</si>
  <si>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</si>
  <si>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</si>
  <si>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</si>
  <si>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</si>
  <si>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</si>
  <si>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</si>
  <si>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</si>
  <si>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</si>
  <si>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</si>
  <si>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</si>
  <si>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</si>
  <si>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</si>
  <si>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</si>
  <si>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</si>
  <si>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</si>
  <si>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</si>
  <si>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</si>
  <si>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</si>
  <si>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</si>
  <si>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</si>
  <si>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</si>
  <si>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</si>
  <si>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</si>
  <si>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</si>
  <si>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</si>
  <si>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</si>
  <si>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</si>
  <si>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</si>
  <si>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</si>
  <si>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</si>
  <si>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</si>
  <si>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</si>
  <si>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</si>
  <si>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</si>
  <si>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</si>
  <si>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</si>
  <si>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</si>
  <si>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</si>
  <si>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</si>
  <si>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</si>
  <si>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</si>
  <si>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</si>
  <si>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</si>
  <si>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</si>
  <si>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</si>
  <si>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</si>
  <si>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</si>
  <si>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</si>
  <si>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</si>
  <si>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</si>
  <si>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</si>
  <si>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</si>
  <si>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</si>
  <si>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</si>
  <si>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</si>
  <si>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</si>
  <si>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</si>
  <si>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</si>
  <si>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</si>
  <si>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</si>
  <si>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</si>
  <si>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</si>
  <si>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</si>
  <si>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</si>
  <si>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</si>
  <si>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</si>
  <si>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</si>
  <si>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</si>
  <si>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</si>
  <si>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</si>
  <si>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</si>
  <si>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</si>
  <si>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</si>
  <si>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</si>
  <si>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</si>
  <si>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</si>
  <si>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</si>
  <si>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</si>
  <si>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</si>
  <si>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</si>
  <si>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</si>
  <si>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</si>
  <si>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</si>
  <si>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</si>
  <si>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</si>
  <si>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</si>
  <si>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</si>
  <si>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</si>
  <si>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</si>
  <si>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</si>
  <si>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</si>
  <si>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</si>
  <si>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</si>
  <si>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</si>
  <si>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</si>
  <si>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</si>
  <si>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</si>
  <si>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</si>
  <si>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</si>
  <si>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</si>
  <si>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</si>
  <si>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</si>
  <si>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</si>
  <si>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</si>
  <si>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</si>
  <si>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</si>
  <si>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</si>
  <si>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</si>
  <si>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</si>
  <si>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</si>
  <si>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</si>
  <si>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</si>
  <si>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</si>
  <si>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</si>
  <si>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</si>
  <si>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</si>
  <si>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</si>
  <si>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</si>
  <si>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</si>
  <si>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</si>
  <si>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</si>
  <si>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</si>
  <si>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</si>
  <si>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</si>
  <si>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</si>
  <si>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</si>
  <si>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</si>
  <si>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</si>
  <si>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</si>
  <si>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</si>
  <si>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</si>
  <si>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</si>
  <si>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</si>
  <si>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</si>
  <si>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</si>
  <si>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</si>
  <si>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</si>
  <si>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</si>
  <si>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</si>
  <si>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</si>
  <si>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</si>
  <si>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</si>
  <si>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</si>
  <si>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</si>
  <si>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</si>
  <si>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</si>
  <si>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</si>
  <si>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</si>
  <si>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</si>
  <si>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</si>
  <si>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</si>
  <si>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</si>
  <si>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</si>
  <si>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</si>
  <si>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</si>
  <si>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</si>
  <si>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</si>
  <si>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</si>
  <si>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</si>
  <si>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</si>
  <si>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</si>
  <si>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</si>
  <si>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</si>
  <si>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</si>
  <si>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</si>
  <si>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</si>
  <si>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</si>
  <si>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</si>
  <si>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</si>
  <si>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</si>
  <si>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</si>
  <si>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</si>
  <si>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</si>
  <si>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</si>
  <si>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</si>
  <si>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</si>
  <si>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</si>
  <si>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</si>
  <si>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</si>
  <si>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</si>
  <si>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</si>
  <si>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</si>
  <si>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</si>
  <si>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</si>
  <si>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</si>
  <si>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</si>
  <si>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</si>
  <si>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</si>
  <si>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</si>
  <si>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</si>
  <si>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</si>
  <si>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</si>
  <si>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</si>
  <si>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</si>
  <si>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</si>
  <si>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</si>
  <si>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</si>
  <si>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</si>
  <si>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</si>
  <si>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</si>
  <si>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</si>
  <si>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</si>
  <si>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</si>
  <si>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</si>
  <si>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</si>
  <si>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</si>
  <si>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</si>
  <si>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</si>
  <si>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</si>
  <si>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</si>
  <si>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</si>
  <si>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</si>
  <si>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</si>
  <si>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</si>
  <si>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</si>
  <si>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</si>
  <si>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</si>
  <si>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</si>
  <si>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</si>
  <si>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</si>
  <si>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</si>
  <si>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</si>
  <si>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</si>
  <si>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</si>
  <si>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</si>
  <si>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</si>
  <si>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</si>
  <si>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</si>
  <si>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</si>
  <si>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</si>
  <si>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</si>
  <si>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</si>
  <si>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</si>
  <si>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</si>
  <si>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</si>
  <si>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</si>
  <si>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</si>
  <si>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</si>
  <si>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</si>
  <si>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</si>
  <si>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</si>
  <si>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</si>
  <si>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</si>
  <si>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</si>
  <si>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</si>
  <si>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</si>
  <si>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</si>
  <si>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</si>
  <si>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</si>
  <si>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</si>
  <si>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</si>
  <si>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</si>
  <si>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</si>
  <si>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</si>
  <si>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</si>
  <si>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</si>
  <si>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</si>
  <si>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</si>
  <si>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</si>
  <si>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</si>
  <si>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</si>
  <si>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</si>
  <si>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</si>
  <si>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</si>
  <si>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</si>
  <si>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</si>
  <si>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</si>
  <si>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</si>
  <si>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</si>
  <si>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</si>
  <si>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</si>
  <si>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</si>
  <si>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</si>
  <si>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</si>
  <si>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</si>
  <si>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</si>
  <si>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</si>
  <si>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</si>
  <si>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</si>
  <si>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</si>
  <si>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</si>
  <si>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</si>
  <si>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</si>
  <si>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</si>
  <si>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</si>
  <si>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</si>
  <si>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</si>
  <si>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</si>
  <si>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</si>
  <si>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</si>
  <si>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</si>
  <si>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</si>
  <si>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</si>
  <si>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</si>
  <si>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</si>
  <si>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</si>
  <si>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</si>
  <si>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</si>
  <si>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</si>
  <si>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</si>
  <si>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</si>
  <si>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</si>
  <si>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</si>
  <si>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</si>
  <si>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</si>
  <si>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</si>
  <si>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</si>
  <si>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</si>
  <si>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</si>
  <si>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</si>
  <si>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</si>
  <si>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</si>
  <si>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</si>
  <si>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</si>
  <si>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</si>
  <si>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</si>
  <si>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</si>
  <si>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</si>
  <si>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</si>
  <si>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</si>
  <si>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</si>
  <si>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</si>
  <si>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</si>
  <si>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</si>
  <si>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</si>
  <si>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</si>
  <si>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</si>
  <si>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</si>
  <si>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</si>
  <si>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</si>
  <si>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</si>
  <si>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</si>
  <si>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</si>
  <si>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</si>
  <si>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</si>
  <si>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</si>
  <si>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</si>
  <si>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</si>
  <si>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</si>
  <si>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</si>
  <si>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</si>
  <si>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</si>
  <si>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</si>
  <si>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</si>
  <si>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</si>
  <si>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</si>
  <si>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</si>
  <si>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</si>
  <si>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</si>
  <si>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</si>
  <si>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</si>
  <si>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</si>
  <si>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</si>
  <si>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</si>
  <si>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</si>
  <si>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</si>
  <si>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</si>
  <si>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</si>
  <si>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</si>
  <si>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</si>
  <si>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</si>
  <si>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</si>
  <si>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</si>
  <si>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</si>
  <si>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</si>
  <si>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</si>
  <si>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</si>
  <si>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</si>
  <si>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</si>
  <si>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</si>
  <si>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</si>
  <si>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</si>
  <si>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</si>
  <si>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</si>
  <si>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</si>
  <si>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</si>
  <si>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</si>
  <si>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</si>
  <si>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</si>
  <si>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</si>
  <si>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</si>
  <si>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</si>
  <si>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</si>
  <si>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</si>
  <si>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</si>
  <si>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</si>
  <si>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</si>
  <si>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</si>
  <si>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</si>
  <si>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</si>
  <si>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</si>
  <si>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</si>
  <si>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</si>
  <si>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</si>
  <si>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</si>
  <si>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</si>
  <si>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</si>
  <si>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</si>
  <si>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</si>
  <si>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</si>
  <si>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</si>
  <si>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</si>
  <si>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</si>
  <si>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</si>
  <si>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</si>
  <si>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</si>
  <si>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</si>
  <si>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</si>
  <si>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</si>
  <si>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</si>
  <si>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</si>
  <si>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</si>
  <si>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</si>
  <si>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</si>
  <si>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</si>
  <si>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</si>
  <si>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</si>
  <si>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</si>
  <si>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</si>
  <si>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</si>
  <si>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</si>
  <si>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</si>
  <si>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</si>
  <si>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</si>
  <si>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</si>
  <si>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</si>
  <si>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</si>
  <si>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</si>
  <si>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</si>
  <si>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</si>
  <si>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</si>
  <si>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</si>
  <si>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</si>
  <si>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</si>
  <si>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</si>
  <si>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</si>
  <si>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</si>
  <si>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</si>
  <si>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</si>
  <si>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</si>
  <si>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</si>
  <si>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</si>
  <si>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</si>
  <si>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</si>
  <si>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</si>
  <si>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</si>
  <si>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</si>
  <si>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</si>
  <si>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</si>
  <si>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</si>
  <si>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</si>
  <si>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</si>
  <si>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</si>
  <si>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</si>
  <si>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</si>
  <si>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</si>
  <si>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</si>
  <si>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</si>
  <si>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</si>
  <si>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</si>
  <si>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</si>
  <si>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</si>
  <si>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</si>
  <si>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</si>
  <si>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</si>
  <si>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</si>
  <si>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</si>
  <si>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</si>
  <si>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</si>
  <si>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</si>
  <si>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</si>
  <si>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</si>
  <si>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</si>
  <si>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</si>
  <si>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</si>
  <si>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</si>
  <si>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</si>
  <si>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</si>
  <si>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</si>
  <si>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</si>
  <si>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</si>
  <si>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</si>
  <si>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</si>
  <si>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</si>
  <si>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</si>
  <si>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</si>
  <si>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</si>
  <si>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</si>
  <si>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</si>
  <si>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</si>
  <si>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</si>
  <si>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</si>
  <si>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</si>
  <si>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</si>
  <si>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</si>
  <si>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</si>
  <si>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</si>
  <si>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</si>
  <si>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</si>
  <si>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</si>
  <si>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</si>
  <si>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</si>
  <si>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</si>
  <si>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</si>
  <si>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</si>
  <si>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</si>
  <si>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</si>
  <si>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</si>
  <si>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</si>
  <si>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</si>
  <si>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</si>
  <si>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</si>
  <si>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</si>
  <si>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</si>
  <si>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</si>
  <si>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</si>
  <si>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</si>
  <si>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</si>
  <si>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</si>
  <si>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</si>
  <si>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</si>
  <si>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</si>
  <si>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</si>
  <si>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</si>
  <si>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</si>
  <si>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</si>
  <si>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</si>
  <si>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</si>
  <si>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</si>
  <si>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</si>
  <si>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</si>
  <si>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</si>
  <si>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</si>
  <si>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</si>
  <si>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</si>
  <si>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</si>
  <si>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</si>
  <si>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</si>
  <si>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</si>
  <si>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</si>
  <si>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</si>
  <si>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</si>
  <si>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</si>
  <si>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</si>
  <si>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</si>
  <si>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</si>
  <si>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</si>
  <si>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</si>
  <si>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</si>
  <si>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</si>
  <si>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</si>
  <si>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</si>
  <si>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</si>
  <si>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</si>
  <si>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</si>
  <si>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</si>
  <si>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</si>
  <si>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</si>
  <si>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</si>
  <si>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</si>
  <si>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</si>
  <si>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</si>
  <si>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</si>
  <si>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</si>
  <si>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</si>
  <si>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</si>
  <si>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</si>
  <si>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</si>
  <si>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</si>
  <si>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</si>
  <si>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</si>
  <si>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</si>
  <si>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</si>
  <si>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</si>
  <si>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</si>
  <si>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</si>
  <si>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</si>
  <si>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</si>
  <si>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</si>
  <si>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</si>
  <si>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</si>
  <si>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</si>
  <si>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</si>
  <si>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</si>
  <si>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</si>
  <si>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</si>
  <si>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</si>
  <si>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</si>
  <si>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</si>
  <si>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</si>
  <si>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</si>
  <si>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</si>
  <si>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</si>
  <si>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</si>
  <si>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</si>
  <si>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</si>
  <si>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</si>
  <si>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</si>
  <si>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</si>
  <si>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</si>
  <si>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</si>
  <si>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</si>
  <si>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</si>
  <si>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</si>
  <si>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</si>
  <si>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</si>
  <si>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</si>
  <si>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</si>
  <si>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</si>
  <si>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</si>
  <si>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</si>
  <si>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</si>
  <si>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</si>
  <si>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</si>
  <si>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</si>
  <si>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</si>
  <si>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</si>
  <si>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</si>
  <si>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</si>
  <si>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</si>
  <si>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</si>
  <si>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</si>
  <si>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</si>
  <si>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</si>
  <si>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</si>
  <si>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</si>
  <si>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</si>
  <si>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</si>
  <si>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</si>
  <si>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</si>
  <si>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</si>
  <si>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</si>
  <si>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</si>
  <si>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</si>
  <si>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</si>
  <si>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</si>
  <si>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</si>
  <si>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</si>
  <si>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</si>
  <si>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</si>
  <si>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</si>
  <si>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</si>
  <si>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</si>
  <si>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</si>
  <si>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</si>
  <si>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</si>
  <si>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</si>
  <si>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</si>
  <si>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</si>
  <si>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</si>
  <si>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</si>
  <si>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</si>
  <si>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</si>
  <si>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</si>
  <si>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</si>
  <si>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</si>
  <si>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</si>
  <si>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</si>
  <si>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</si>
  <si>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</si>
  <si>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</si>
  <si>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</si>
  <si>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</si>
  <si>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</si>
  <si>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</si>
  <si>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</si>
  <si>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</si>
  <si>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</si>
  <si>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</si>
  <si>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</si>
  <si>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</si>
  <si>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</si>
  <si>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</si>
  <si>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</si>
  <si>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</si>
  <si>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</si>
  <si>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</si>
  <si>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</si>
  <si>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</si>
  <si>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</si>
  <si>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</si>
  <si>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</si>
  <si>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</si>
  <si>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</si>
  <si>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</si>
  <si>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</si>
  <si>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</si>
  <si>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</si>
  <si>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</si>
  <si>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</si>
  <si>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</si>
  <si>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</si>
  <si>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</si>
  <si>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</si>
  <si>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</si>
  <si>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</si>
  <si>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</si>
  <si>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</si>
  <si>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</si>
  <si>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</si>
  <si>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</si>
  <si>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</si>
  <si>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</si>
  <si>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</si>
  <si>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</si>
  <si>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</si>
  <si>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</si>
  <si>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</si>
  <si>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</si>
  <si>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</si>
  <si>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</si>
  <si>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</si>
  <si>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</si>
  <si>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</si>
  <si>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</si>
  <si>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</si>
  <si>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</si>
  <si>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</si>
  <si>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</si>
  <si>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</si>
  <si>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</si>
  <si>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</si>
  <si>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</si>
  <si>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</si>
  <si>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</si>
  <si>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</si>
  <si>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</si>
  <si>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</si>
  <si>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</si>
  <si>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</si>
  <si>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</si>
  <si>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</si>
  <si>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</si>
  <si>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</si>
  <si>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</si>
  <si>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</si>
  <si>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</si>
  <si>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</si>
  <si>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</si>
  <si>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</si>
  <si>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</si>
  <si>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</si>
  <si>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</si>
  <si>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</si>
  <si>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</si>
  <si>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</si>
  <si>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</si>
  <si>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</si>
  <si>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</si>
  <si>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</si>
  <si>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</si>
  <si>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</si>
  <si>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</si>
  <si>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</si>
  <si>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</si>
  <si>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</si>
  <si>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</si>
  <si>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</si>
  <si>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</si>
  <si>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</si>
  <si>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</si>
  <si>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</si>
  <si>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</si>
  <si>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</si>
  <si>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</si>
  <si>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</si>
  <si>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</si>
  <si>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</si>
  <si>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</si>
  <si>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</si>
  <si>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</si>
  <si>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</si>
  <si>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</si>
  <si>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</si>
  <si>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</si>
  <si>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</si>
  <si>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</si>
  <si>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</si>
  <si>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</si>
  <si>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</si>
  <si>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</si>
  <si>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</si>
  <si>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</si>
  <si>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</si>
  <si>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</si>
  <si>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</si>
  <si>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</si>
  <si>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</si>
  <si>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</si>
  <si>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</si>
  <si>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</si>
  <si>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</si>
  <si>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</si>
  <si>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</si>
  <si>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</si>
  <si>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</si>
  <si>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</si>
  <si>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</si>
  <si>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</si>
  <si>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</si>
  <si>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</si>
  <si>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</si>
  <si>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</si>
  <si>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</si>
  <si>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</si>
  <si>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</si>
  <si>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</si>
  <si>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</si>
  <si>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</si>
  <si>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</si>
  <si>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</si>
  <si>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</si>
  <si>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</si>
  <si>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</si>
  <si>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</si>
  <si>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</si>
  <si>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</si>
  <si>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</si>
  <si>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</si>
  <si>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</si>
  <si>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</si>
  <si>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</si>
  <si>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</si>
  <si>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</si>
  <si>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</si>
  <si>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</si>
  <si>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</si>
  <si>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</si>
  <si>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</si>
  <si>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</si>
  <si>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</si>
  <si>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</si>
  <si>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</si>
  <si>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</si>
  <si>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</si>
  <si>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</si>
  <si>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</si>
  <si>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</si>
  <si>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</si>
  <si>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</si>
  <si>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</si>
  <si>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</si>
  <si>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</si>
  <si>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</si>
  <si>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</si>
  <si>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</si>
  <si>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</si>
  <si>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</si>
  <si>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</si>
  <si>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</si>
  <si>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</si>
  <si>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</si>
  <si>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</si>
  <si>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</si>
  <si>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</si>
  <si>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</si>
  <si>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</si>
  <si>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</si>
  <si>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</si>
  <si>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</si>
  <si>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</si>
  <si>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</si>
  <si>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</si>
  <si>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</si>
  <si>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</si>
  <si>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</si>
  <si>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</si>
  <si>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</si>
  <si>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</si>
  <si>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</si>
  <si>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</si>
  <si>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</si>
  <si>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</si>
  <si>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</si>
  <si>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</si>
  <si>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</si>
  <si>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</si>
  <si>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</si>
  <si>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</si>
  <si>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</si>
  <si>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</si>
  <si>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</si>
  <si>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</si>
  <si>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</si>
  <si>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</si>
  <si>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</si>
  <si>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</si>
  <si>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</si>
  <si>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</si>
  <si>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</si>
  <si>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</si>
  <si>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</si>
  <si>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</si>
  <si>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</si>
  <si>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</si>
  <si>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</si>
  <si>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</si>
  <si>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</si>
  <si>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</si>
  <si>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</si>
  <si>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</si>
  <si>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</si>
  <si>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</si>
  <si>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</si>
  <si>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</si>
  <si>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</si>
  <si>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</si>
  <si>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</si>
  <si>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</si>
  <si>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</si>
  <si>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</si>
  <si>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</si>
  <si>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</si>
  <si>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</si>
  <si>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</si>
  <si>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</si>
  <si>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</si>
  <si>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</si>
  <si>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</si>
  <si>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</si>
  <si>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</si>
  <si>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</si>
  <si>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</si>
  <si>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</si>
  <si>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</si>
  <si>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</si>
  <si>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</si>
  <si>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</si>
  <si>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</si>
  <si>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</si>
  <si>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</si>
  <si>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</si>
  <si>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</si>
  <si>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</si>
  <si>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</si>
  <si>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</si>
  <si>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</si>
  <si>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</si>
  <si>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</si>
  <si>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</si>
  <si>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</si>
  <si>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</si>
  <si>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</si>
  <si>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</si>
  <si>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</si>
  <si>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</si>
  <si>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</si>
  <si>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</si>
  <si>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</si>
  <si>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</si>
  <si>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</si>
  <si>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</si>
  <si>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</si>
  <si>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</si>
  <si>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</si>
  <si>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</si>
  <si>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</si>
  <si>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</si>
  <si>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</si>
  <si>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</si>
  <si>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</si>
  <si>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</si>
  <si>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</si>
  <si>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</si>
  <si>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</si>
  <si>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</si>
  <si>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</si>
  <si>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</si>
  <si>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</si>
  <si>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</si>
  <si>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</si>
  <si>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</si>
  <si>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</si>
  <si>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</si>
  <si>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</si>
  <si>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</si>
  <si>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</si>
  <si>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</si>
  <si>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</si>
  <si>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</si>
  <si>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</si>
  <si>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</si>
  <si>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</si>
  <si>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</si>
  <si>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</si>
  <si>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</si>
  <si>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</si>
  <si>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</si>
  <si>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</si>
  <si>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</si>
  <si>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</si>
  <si>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</si>
  <si>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</si>
  <si>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</si>
  <si>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</si>
  <si>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</si>
  <si>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</si>
  <si>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</si>
  <si>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</si>
  <si>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</si>
  <si>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</si>
  <si>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</si>
  <si>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</si>
  <si>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</si>
  <si>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</si>
  <si>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</si>
  <si>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</si>
  <si>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</si>
  <si>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</si>
  <si>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</si>
  <si>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</si>
  <si>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</si>
  <si>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</si>
  <si>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</si>
  <si>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</si>
  <si>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</si>
  <si>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</si>
  <si>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</si>
  <si>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</si>
  <si>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</si>
  <si>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</si>
  <si>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</si>
  <si>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</si>
  <si>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</si>
  <si>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</si>
  <si>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</si>
  <si>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</si>
  <si>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</si>
  <si>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</si>
  <si>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</si>
  <si>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</si>
  <si>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</si>
  <si>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</si>
  <si>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</si>
  <si>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</si>
  <si>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</si>
  <si>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</si>
  <si>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</si>
  <si>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</si>
  <si>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</si>
  <si>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</si>
  <si>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</si>
  <si>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</si>
  <si>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</si>
  <si>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</si>
  <si>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</si>
  <si>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</si>
  <si>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</si>
  <si>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</si>
  <si>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</si>
  <si>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</si>
  <si>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</si>
  <si>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</si>
  <si>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</si>
  <si>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</si>
  <si>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</si>
  <si>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</si>
  <si>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</si>
  <si>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</si>
  <si>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</si>
  <si>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</si>
  <si>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</si>
  <si>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</si>
  <si>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</si>
  <si>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</si>
  <si>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</si>
  <si>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</si>
  <si>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</si>
  <si>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</si>
  <si>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</si>
  <si>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</si>
  <si>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</si>
  <si>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</si>
  <si>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</si>
  <si>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</si>
  <si>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</si>
  <si>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</si>
  <si>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</si>
  <si>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</si>
  <si>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</si>
  <si>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</si>
  <si>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</si>
  <si>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</si>
  <si>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</si>
  <si>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</si>
  <si>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</si>
  <si>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</si>
  <si>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</si>
  <si>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</si>
  <si>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</si>
  <si>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</si>
  <si>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</si>
  <si>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</si>
  <si>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</si>
  <si>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</si>
  <si>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</si>
  <si>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</si>
  <si>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</si>
  <si>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</si>
  <si>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</si>
  <si>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</si>
  <si>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</si>
  <si>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</si>
  <si>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</si>
  <si>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</si>
  <si>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</si>
  <si>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</si>
  <si>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</si>
  <si>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</si>
  <si>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</si>
  <si>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</si>
  <si>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</si>
  <si>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</si>
  <si>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</si>
  <si>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</si>
  <si>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</si>
  <si>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</si>
  <si>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</si>
  <si>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</si>
  <si>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</si>
  <si>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</si>
  <si>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</si>
  <si>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</si>
  <si>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</si>
  <si>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</si>
  <si>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</si>
  <si>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</si>
  <si>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</si>
  <si>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</si>
  <si>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</si>
  <si>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</si>
  <si>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</si>
  <si>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</si>
  <si>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</si>
  <si>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</si>
  <si>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</si>
  <si>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</si>
  <si>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</si>
  <si>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</si>
  <si>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</si>
  <si>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</si>
  <si>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</si>
  <si>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</si>
  <si>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</si>
  <si>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</si>
  <si>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</si>
  <si>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</si>
  <si>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</si>
  <si>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</si>
  <si>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</si>
  <si>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</si>
  <si>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</si>
  <si>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</si>
  <si>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</si>
  <si>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</si>
  <si>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</si>
  <si>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</si>
  <si>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</si>
  <si>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</si>
  <si>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</si>
  <si>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</si>
  <si>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</si>
  <si>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</si>
  <si>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</si>
  <si>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</si>
  <si>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</si>
  <si>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</si>
  <si>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</si>
  <si>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</si>
  <si>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</si>
  <si>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</si>
  <si>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</si>
  <si>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</si>
  <si>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</si>
  <si>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</si>
  <si>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</si>
  <si>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</si>
  <si>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</si>
  <si>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</si>
  <si>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</si>
  <si>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</si>
  <si>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</si>
  <si>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</si>
  <si>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</si>
  <si>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</si>
  <si>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</si>
  <si>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</si>
  <si>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</si>
  <si>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</si>
  <si>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</si>
  <si>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</si>
  <si>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</si>
  <si>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</si>
  <si>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</si>
  <si>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</si>
  <si>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</si>
  <si>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</si>
  <si>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</si>
  <si>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</si>
  <si>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</si>
  <si>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</si>
  <si>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</si>
  <si>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</si>
  <si>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</si>
  <si>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</si>
  <si>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</si>
  <si>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</si>
  <si>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</si>
  <si>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</si>
  <si>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</si>
  <si>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</si>
  <si>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</si>
  <si>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</si>
  <si>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</si>
  <si>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</si>
  <si>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</si>
  <si>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</si>
  <si>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</si>
  <si>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</si>
  <si>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</si>
  <si>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</si>
  <si>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</si>
  <si>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</si>
  <si>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</si>
  <si>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</si>
  <si>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</si>
  <si>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</si>
  <si>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</si>
  <si>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</si>
  <si>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</si>
  <si>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</si>
  <si>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</si>
  <si>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</si>
  <si>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</si>
  <si>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</si>
  <si>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</si>
  <si>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</si>
  <si>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</si>
  <si>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</si>
  <si>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</si>
  <si>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</si>
  <si>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</si>
  <si>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</si>
  <si>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</si>
  <si>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</si>
  <si>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</si>
  <si>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</si>
  <si>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</si>
  <si>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</si>
  <si>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</si>
  <si>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</si>
  <si>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</si>
  <si>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</si>
  <si>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</si>
  <si>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</si>
  <si>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</si>
  <si>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</si>
  <si>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</si>
  <si>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</si>
  <si>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</si>
  <si>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</si>
  <si>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</si>
  <si>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</si>
  <si>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</si>
  <si>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</si>
  <si>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</si>
  <si>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</si>
  <si>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</si>
  <si>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</si>
  <si>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</si>
  <si>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</si>
  <si>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</si>
  <si>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</si>
  <si>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</si>
  <si>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</si>
  <si>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</si>
  <si>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</si>
  <si>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</si>
  <si>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</si>
  <si>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</si>
  <si>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</si>
  <si>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</si>
  <si>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</si>
  <si>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</si>
  <si>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</si>
  <si>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</si>
  <si>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</si>
  <si>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</si>
  <si>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</si>
  <si>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</si>
  <si>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</si>
  <si>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</si>
  <si>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</si>
  <si>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</si>
  <si>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</si>
  <si>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</si>
  <si>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</si>
  <si>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</si>
  <si>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</si>
  <si>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</si>
  <si>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</si>
  <si>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</si>
  <si>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</si>
  <si>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</si>
  <si>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</si>
  <si>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</si>
  <si>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</si>
  <si>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</si>
  <si>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</si>
  <si>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</si>
  <si>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</si>
  <si>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</si>
  <si>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</si>
  <si>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</si>
  <si>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</si>
  <si>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</si>
  <si>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</si>
  <si>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</si>
  <si>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</si>
  <si>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</si>
  <si>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</si>
  <si>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</si>
  <si>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</si>
  <si>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</si>
  <si>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</si>
  <si>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</si>
  <si>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</si>
  <si>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</si>
  <si>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</si>
  <si>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</si>
  <si>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</si>
  <si>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</si>
  <si>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</si>
  <si>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</si>
  <si>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</si>
  <si>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</si>
  <si>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</si>
  <si>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</si>
  <si>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</si>
  <si>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</si>
  <si>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</si>
  <si>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</si>
  <si>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</si>
  <si>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</si>
  <si>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</si>
  <si>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</si>
  <si>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</si>
  <si>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</si>
  <si>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</si>
  <si>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</si>
  <si>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</si>
  <si>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</si>
  <si>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</si>
  <si>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</si>
  <si>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</si>
  <si>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</si>
  <si>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</si>
  <si>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</si>
  <si>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</si>
  <si>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</si>
  <si>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</si>
  <si>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</si>
  <si>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</si>
  <si>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</si>
  <si>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</si>
  <si>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</si>
  <si>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</si>
  <si>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</si>
  <si>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</si>
  <si>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</si>
  <si>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</si>
  <si>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</si>
  <si>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</si>
  <si>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</si>
  <si>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</si>
  <si>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</si>
  <si>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</si>
  <si>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</si>
  <si>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</si>
  <si>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</si>
  <si>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</si>
  <si>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</si>
  <si>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</si>
  <si>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</si>
  <si>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</si>
  <si>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</si>
  <si>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</si>
  <si>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</si>
  <si>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</si>
  <si>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</si>
  <si>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</si>
  <si>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</si>
  <si>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</si>
  <si>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</si>
  <si>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</si>
  <si>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</si>
  <si>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</si>
  <si>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</si>
  <si>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</si>
  <si>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</si>
  <si>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</si>
  <si>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</si>
  <si>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</si>
  <si>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</si>
  <si>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</si>
  <si>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</si>
  <si>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</si>
  <si>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</si>
  <si>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</si>
  <si>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</si>
  <si>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</si>
  <si>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</si>
  <si>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</si>
  <si>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</si>
  <si>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</si>
  <si>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</si>
  <si>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</si>
  <si>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</si>
  <si>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</si>
  <si>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</si>
  <si>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</si>
  <si>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</si>
  <si>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</si>
  <si>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</si>
  <si>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</si>
  <si>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</si>
  <si>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</si>
  <si>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</si>
  <si>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</si>
  <si>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</si>
  <si>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</si>
  <si>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</si>
  <si>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</si>
  <si>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</si>
  <si>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</si>
  <si>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</si>
  <si>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</si>
  <si>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</si>
  <si>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</si>
  <si>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</si>
  <si>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</si>
  <si>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</si>
  <si>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</si>
  <si>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</si>
  <si>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</si>
  <si>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</si>
  <si>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</si>
  <si>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</si>
  <si>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</si>
  <si>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</si>
  <si>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</si>
  <si>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</si>
  <si>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</si>
  <si>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</si>
  <si>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</si>
  <si>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</si>
  <si>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</si>
  <si>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</si>
  <si>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</si>
  <si>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</si>
  <si>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</si>
  <si>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</si>
  <si>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</si>
  <si>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</si>
  <si>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</si>
  <si>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</si>
  <si>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</si>
  <si>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</si>
  <si>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</si>
  <si>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</si>
  <si>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</si>
  <si>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</si>
  <si>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</si>
  <si>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</si>
  <si>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</si>
  <si>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</si>
  <si>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</si>
  <si>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</si>
  <si>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</si>
  <si>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</si>
  <si>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</si>
  <si>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</si>
  <si>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</si>
  <si>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</si>
  <si>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</si>
  <si>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</si>
  <si>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</si>
  <si>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</si>
  <si>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</si>
  <si>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</si>
  <si>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</si>
  <si>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</si>
  <si>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</si>
  <si>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</si>
  <si>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</si>
  <si>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</si>
  <si>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</si>
  <si>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</si>
  <si>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</si>
  <si>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</si>
  <si>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</si>
  <si>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</si>
  <si>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</si>
  <si>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</si>
  <si>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</si>
  <si>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</si>
  <si>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</si>
  <si>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</si>
  <si>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</si>
  <si>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</si>
  <si>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</si>
  <si>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</si>
  <si>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</si>
  <si>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</si>
  <si>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</si>
  <si>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</si>
  <si>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</si>
  <si>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</si>
  <si>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</si>
  <si>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</si>
  <si>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</si>
  <si>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</si>
  <si>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</si>
  <si>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</si>
  <si>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</si>
  <si>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</si>
  <si>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</si>
  <si>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</si>
  <si>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</si>
  <si>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</si>
  <si>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</si>
  <si>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</si>
  <si>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</si>
  <si>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</si>
  <si>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</si>
  <si>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</si>
  <si>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</si>
  <si>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</si>
  <si>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</si>
  <si>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</si>
  <si>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</si>
  <si>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</si>
  <si>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</si>
  <si>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</si>
  <si>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</si>
  <si>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</si>
  <si>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</si>
  <si>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</si>
  <si>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</si>
  <si>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</si>
  <si>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</si>
  <si>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</si>
  <si>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</si>
  <si>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</si>
  <si>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</si>
  <si>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</si>
  <si>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</si>
  <si>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</si>
  <si>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</si>
  <si>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</si>
  <si>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</si>
  <si>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</si>
  <si>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</si>
  <si>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</si>
  <si>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</si>
  <si>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</si>
  <si>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</si>
  <si>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</si>
  <si>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</si>
  <si>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</si>
  <si>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</si>
  <si>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</si>
  <si>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</si>
  <si>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</si>
  <si>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</si>
  <si>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</si>
  <si>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</si>
  <si>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</si>
  <si>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</si>
  <si>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</si>
  <si>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</si>
  <si>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</si>
  <si>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</si>
  <si>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</si>
  <si>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</si>
  <si>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</si>
  <si>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</si>
  <si>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</si>
  <si>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</si>
  <si>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</si>
  <si>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</si>
  <si>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</si>
  <si>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</si>
  <si>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</si>
  <si>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</si>
  <si>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</si>
  <si>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</si>
  <si>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</si>
  <si>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</si>
  <si>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</si>
  <si>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</si>
  <si>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</si>
  <si>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</si>
  <si>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</si>
  <si>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</si>
  <si>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</si>
  <si>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</si>
  <si>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</si>
  <si>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</si>
  <si>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</si>
  <si>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</si>
  <si>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</si>
  <si>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</si>
  <si>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</si>
  <si>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</si>
  <si>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</si>
  <si>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</si>
  <si>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</si>
  <si>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</si>
  <si>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</si>
  <si>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</si>
  <si>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</si>
  <si>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</si>
  <si>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</si>
  <si>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</si>
  <si>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</si>
  <si>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</si>
  <si>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</si>
  <si>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</si>
  <si>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</si>
  <si>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</si>
  <si>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</si>
  <si>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</si>
  <si>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</si>
  <si>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</si>
  <si>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</si>
  <si>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</si>
  <si>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</si>
  <si>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</si>
  <si>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</si>
  <si>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</si>
  <si>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</si>
  <si>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</si>
  <si>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</si>
  <si>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</si>
  <si>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</si>
  <si>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</si>
  <si>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</si>
  <si>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</si>
  <si>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</si>
  <si>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</si>
  <si>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</si>
  <si>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</si>
  <si>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</si>
  <si>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</si>
  <si>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</si>
  <si>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</si>
  <si>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</si>
  <si>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</si>
  <si>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</si>
  <si>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</si>
  <si>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</si>
  <si>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</si>
  <si>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</si>
  <si>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</si>
  <si>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</si>
  <si>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</si>
  <si>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</si>
  <si>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</si>
  <si>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</si>
  <si>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</si>
  <si>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</si>
  <si>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</si>
  <si>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</si>
  <si>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</si>
  <si>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</si>
  <si>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</si>
  <si>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</si>
  <si>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</si>
  <si>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</si>
  <si>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</si>
  <si>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</si>
  <si>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</si>
  <si>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</si>
  <si>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</si>
  <si>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</si>
  <si>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</si>
  <si>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</si>
  <si>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</si>
  <si>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</si>
  <si>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</si>
  <si>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</si>
  <si>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</si>
  <si>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</si>
  <si>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</si>
  <si>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</si>
  <si>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</si>
  <si>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</si>
  <si>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</si>
  <si>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</si>
  <si>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</si>
  <si>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</si>
  <si>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</si>
  <si>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</si>
  <si>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</si>
  <si>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</si>
  <si>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</si>
  <si>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</si>
  <si>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</si>
  <si>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</si>
  <si>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</si>
  <si>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</si>
  <si>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</si>
  <si>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</si>
  <si>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</si>
  <si>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</si>
  <si>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</si>
  <si>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</si>
  <si>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</si>
  <si>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</si>
  <si>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</si>
  <si>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</si>
  <si>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</si>
  <si>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</si>
  <si>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</si>
  <si>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</si>
  <si>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</si>
  <si>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</si>
  <si>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</si>
  <si>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</si>
  <si>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</si>
  <si>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</si>
  <si>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</si>
  <si>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</si>
  <si>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</si>
  <si>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</si>
  <si>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</si>
  <si>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</si>
  <si>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</si>
  <si>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</si>
  <si>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</si>
  <si>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</si>
  <si>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</si>
  <si>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</si>
  <si>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</si>
  <si>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</si>
  <si>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</si>
  <si>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</si>
  <si>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</si>
  <si>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</si>
  <si>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</si>
  <si>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</si>
  <si>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</si>
  <si>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</si>
  <si>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</si>
  <si>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</si>
  <si>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</si>
  <si>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</si>
  <si>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</si>
  <si>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</si>
  <si>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</si>
  <si>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</si>
  <si>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</si>
  <si>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</si>
  <si>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</si>
  <si>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</si>
  <si>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</si>
  <si>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</si>
  <si>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</si>
  <si>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</si>
  <si>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</si>
  <si>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</si>
  <si>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</si>
  <si>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</si>
  <si>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</si>
  <si>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</si>
  <si>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</si>
  <si>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</si>
  <si>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</si>
  <si>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</si>
  <si>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</si>
  <si>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</si>
  <si>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</si>
  <si>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</si>
  <si>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</si>
  <si>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</si>
  <si>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</si>
  <si>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</si>
  <si>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</si>
  <si>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</si>
  <si>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</si>
  <si>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</si>
  <si>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</si>
  <si>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</si>
  <si>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</si>
  <si>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</si>
  <si>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</si>
  <si>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</si>
  <si>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</si>
  <si>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</si>
  <si>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</si>
  <si>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</si>
  <si>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</si>
  <si>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</si>
  <si>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</si>
  <si>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</si>
  <si>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</si>
  <si>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</si>
  <si>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</si>
  <si>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</si>
  <si>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</si>
  <si>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</si>
  <si>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</si>
  <si>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</si>
  <si>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</si>
  <si>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</si>
  <si>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</si>
  <si>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</si>
  <si>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</si>
  <si>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</si>
  <si>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</si>
  <si>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</si>
  <si>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</si>
  <si>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</si>
  <si>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</si>
  <si>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</si>
  <si>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</si>
  <si>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</si>
  <si>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</si>
  <si>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</si>
  <si>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</si>
  <si>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</si>
  <si>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</si>
  <si>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</si>
  <si>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</si>
  <si>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</si>
  <si>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</si>
  <si>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</si>
  <si>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</si>
  <si>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</si>
  <si>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</si>
  <si>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</si>
  <si>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</si>
  <si>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</si>
  <si>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</si>
  <si>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</si>
  <si>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</si>
  <si>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</si>
  <si>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</si>
  <si>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</si>
  <si>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</si>
  <si>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</si>
  <si>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</si>
  <si>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</si>
  <si>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</si>
  <si>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</si>
  <si>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</si>
  <si>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</si>
  <si>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</si>
  <si>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</si>
  <si>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</si>
  <si>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</si>
  <si>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</si>
  <si>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</si>
  <si>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</si>
  <si>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</si>
  <si>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</si>
  <si>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</si>
  <si>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</si>
  <si>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</si>
  <si>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</si>
  <si>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</si>
  <si>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</si>
  <si>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</si>
  <si>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</si>
  <si>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</si>
  <si>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</si>
  <si>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</si>
  <si>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</si>
  <si>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</si>
  <si>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</si>
  <si>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</si>
  <si>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</si>
  <si>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</si>
  <si>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</si>
  <si>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</si>
  <si>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</si>
  <si>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</si>
  <si>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</si>
  <si>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</si>
  <si>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</si>
  <si>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</si>
  <si>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</si>
  <si>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</si>
  <si>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</si>
  <si>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</si>
  <si>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</si>
  <si>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</si>
  <si>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</si>
  <si>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</si>
  <si>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</si>
  <si>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</si>
  <si>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</si>
  <si>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</si>
  <si>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</si>
  <si>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</si>
  <si>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</si>
  <si>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</si>
  <si>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</si>
  <si>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</si>
  <si>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</si>
  <si>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</si>
  <si>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</si>
  <si>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</si>
  <si>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</si>
  <si>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</si>
  <si>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</si>
  <si>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</si>
  <si>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</si>
  <si>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</si>
  <si>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</si>
  <si>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</si>
  <si>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</si>
  <si>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</si>
  <si>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</si>
  <si>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</si>
  <si>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</si>
  <si>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</si>
  <si>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</si>
  <si>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</si>
  <si>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</si>
  <si>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</si>
  <si>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</si>
  <si>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</si>
  <si>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</si>
  <si>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</si>
  <si>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</si>
  <si>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</si>
  <si>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</si>
  <si>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</si>
  <si>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</si>
  <si>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</si>
  <si>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</si>
  <si>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</si>
  <si>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</si>
  <si>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</si>
  <si>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</si>
  <si>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</si>
  <si>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</si>
  <si>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</si>
  <si>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</si>
  <si>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</si>
  <si>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</si>
  <si>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</si>
  <si>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</si>
  <si>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</si>
  <si>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</si>
  <si>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</si>
  <si>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</si>
  <si>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</si>
  <si>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</si>
  <si>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</si>
  <si>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</si>
  <si>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</si>
  <si>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</si>
  <si>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</si>
  <si>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</si>
  <si>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</si>
  <si>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</si>
  <si>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</si>
  <si>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</si>
  <si>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</si>
  <si>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</si>
  <si>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</si>
  <si>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</si>
  <si>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</si>
  <si>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</si>
  <si>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</si>
  <si>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</si>
  <si>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</si>
  <si>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</si>
  <si>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</si>
  <si>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</si>
  <si>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</si>
  <si>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</si>
  <si>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</si>
  <si>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</si>
  <si>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</si>
  <si>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</si>
  <si>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</si>
  <si>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</si>
  <si>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</si>
  <si>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</si>
  <si>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</si>
  <si>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</si>
  <si>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</si>
  <si>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</si>
  <si>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</si>
  <si>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</si>
  <si>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</si>
  <si>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</si>
  <si>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</si>
  <si>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</si>
  <si>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</si>
  <si>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</si>
  <si>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</si>
  <si>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</si>
  <si>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</si>
  <si>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</si>
  <si>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</si>
  <si>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</si>
  <si>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</si>
  <si>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</si>
  <si>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</si>
  <si>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</si>
  <si>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</si>
  <si>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</si>
  <si>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</si>
  <si>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</si>
  <si>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</si>
  <si>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</si>
  <si>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</si>
  <si>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</si>
  <si>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</si>
  <si>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</si>
  <si>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</si>
  <si>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</si>
  <si>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</si>
  <si>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</si>
  <si>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</si>
  <si>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</si>
  <si>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</si>
  <si>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</si>
  <si>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</si>
  <si>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</si>
  <si>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</si>
  <si>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</si>
  <si>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</si>
  <si>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</si>
  <si>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</si>
  <si>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</si>
  <si>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</si>
  <si>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</si>
  <si>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</si>
  <si>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</si>
  <si>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</si>
  <si>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</si>
  <si>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</si>
  <si>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</si>
  <si>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</si>
  <si>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</si>
  <si>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</si>
  <si>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</si>
  <si>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</si>
  <si>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</si>
  <si>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</si>
  <si>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</si>
  <si>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</si>
  <si>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</si>
  <si>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</si>
  <si>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</si>
  <si>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</si>
  <si>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</si>
  <si>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</si>
  <si>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</si>
  <si>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</si>
  <si>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</si>
  <si>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</si>
  <si>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</si>
  <si>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</si>
  <si>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</si>
  <si>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</si>
  <si>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</si>
  <si>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</si>
  <si>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</si>
  <si>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</si>
  <si>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</si>
  <si>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</si>
  <si>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</si>
  <si>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</si>
  <si>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</si>
  <si>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</si>
  <si>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</si>
  <si>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</si>
  <si>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</si>
  <si>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</si>
  <si>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</si>
  <si>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</si>
  <si>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</si>
  <si>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</si>
  <si>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</si>
  <si>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</si>
  <si>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</si>
  <si>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</si>
  <si>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</si>
  <si>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</si>
  <si>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</si>
  <si>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</si>
  <si>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</si>
  <si>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</si>
  <si>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</si>
  <si>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</si>
  <si>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</si>
  <si>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</si>
  <si>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</si>
  <si>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</si>
  <si>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</si>
  <si>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</si>
  <si>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</si>
  <si>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</si>
  <si>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</si>
  <si>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</si>
  <si>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</si>
  <si>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</si>
  <si>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</si>
  <si>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</si>
  <si>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</si>
  <si>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</si>
  <si>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</si>
  <si>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</si>
  <si>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</si>
  <si>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</si>
  <si>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</si>
  <si>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</si>
  <si>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</si>
  <si>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</si>
  <si>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</si>
  <si>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</si>
  <si>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</si>
  <si>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</si>
  <si>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</si>
  <si>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</si>
  <si>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</si>
  <si>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</si>
  <si>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</si>
  <si>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</si>
  <si>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</si>
  <si>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</si>
  <si>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</si>
  <si>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</si>
  <si>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</si>
  <si>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</si>
  <si>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</si>
  <si>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</si>
  <si>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</si>
  <si>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</si>
  <si>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</si>
  <si>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</si>
  <si>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</si>
  <si>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</si>
  <si>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</si>
  <si>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</si>
  <si>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</si>
  <si>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</si>
  <si>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</si>
  <si>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</si>
  <si>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</si>
  <si>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</si>
  <si>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</si>
  <si>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</si>
  <si>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</si>
  <si>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</si>
  <si>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</si>
  <si>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</si>
  <si>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</si>
  <si>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</si>
  <si>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</si>
  <si>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</si>
  <si>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</si>
  <si>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</si>
  <si>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</si>
  <si>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</si>
  <si>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</si>
  <si>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</si>
  <si>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</si>
  <si>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</si>
  <si>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</si>
  <si>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</si>
  <si>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</si>
  <si>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</si>
  <si>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</si>
  <si>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</si>
  <si>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</si>
  <si>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</si>
  <si>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</si>
  <si>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</si>
  <si>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</si>
  <si>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</si>
  <si>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</si>
  <si>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</si>
  <si>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</si>
  <si>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</si>
  <si>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</si>
  <si>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</si>
  <si>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</si>
  <si>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</si>
  <si>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</si>
  <si>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</si>
  <si>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</si>
  <si>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</si>
  <si>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</si>
  <si>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</si>
  <si>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</si>
  <si>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</si>
  <si>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</si>
  <si>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</si>
  <si>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</si>
  <si>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</si>
  <si>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</si>
  <si>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</si>
  <si>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</si>
  <si>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</si>
  <si>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</si>
  <si>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</si>
  <si>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</si>
  <si>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</si>
  <si>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</si>
  <si>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</si>
  <si>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</si>
  <si>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</si>
  <si>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</si>
  <si>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</si>
  <si>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</si>
  <si>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</si>
  <si>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</si>
  <si>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</si>
  <si>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</si>
  <si>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</si>
  <si>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</si>
  <si>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</si>
  <si>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</si>
  <si>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</si>
  <si>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</si>
  <si>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</si>
  <si>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</si>
  <si>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</si>
  <si>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</si>
  <si>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</si>
  <si>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</si>
  <si>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</si>
  <si>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</si>
  <si>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</si>
  <si>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</si>
  <si>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</si>
  <si>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</si>
  <si>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</si>
  <si>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</si>
  <si>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</si>
  <si>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</si>
  <si>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</si>
  <si>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</si>
  <si>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</si>
  <si>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</si>
  <si>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</si>
  <si>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</si>
  <si>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</si>
  <si>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</si>
  <si>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</si>
  <si>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</si>
  <si>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</si>
  <si>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</si>
  <si>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</si>
  <si>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</si>
  <si>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</si>
  <si>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</si>
  <si>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</si>
  <si>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</si>
  <si>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</si>
  <si>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</si>
  <si>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</si>
  <si>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</si>
  <si>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</si>
  <si>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</si>
  <si>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</si>
  <si>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</si>
  <si>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</si>
  <si>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</si>
  <si>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</si>
  <si>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</si>
  <si>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</si>
  <si>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</si>
  <si>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</si>
  <si>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</si>
  <si>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</si>
  <si>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</si>
  <si>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</si>
  <si>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</si>
  <si>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</si>
  <si>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</si>
  <si>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</si>
  <si>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</si>
  <si>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</si>
  <si>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</si>
  <si>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</si>
  <si>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</si>
  <si>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</si>
  <si>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</si>
  <si>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</si>
  <si>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</si>
  <si>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</si>
  <si>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</si>
  <si>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</si>
  <si>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</si>
  <si>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</si>
  <si>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</si>
  <si>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</si>
  <si>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</si>
  <si>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</si>
  <si>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</si>
  <si>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</si>
  <si>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</si>
  <si>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</si>
  <si>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</si>
  <si>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</si>
  <si>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</si>
  <si>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</si>
  <si>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</si>
  <si>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</si>
  <si>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</si>
  <si>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</si>
  <si>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</si>
  <si>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</si>
  <si>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</si>
  <si>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</si>
  <si>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</si>
  <si>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</si>
  <si>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</si>
  <si>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</si>
  <si>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</si>
  <si>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</si>
  <si>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</si>
  <si>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</si>
  <si>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</si>
  <si>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</si>
  <si>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</si>
  <si>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</si>
  <si>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</si>
  <si>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</si>
  <si>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</si>
  <si>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</si>
  <si>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</si>
  <si>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</si>
  <si>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</si>
  <si>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</si>
  <si>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</si>
  <si>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</si>
  <si>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</si>
  <si>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</si>
  <si>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</si>
  <si>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</si>
  <si>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</si>
  <si>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</si>
  <si>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</si>
  <si>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</si>
  <si>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</si>
  <si>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</si>
  <si>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</si>
  <si>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</si>
  <si>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</si>
  <si>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</si>
  <si>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</si>
  <si>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</si>
  <si>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</si>
  <si>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</si>
  <si>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</si>
  <si>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</si>
  <si>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</si>
  <si>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</si>
  <si>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</si>
  <si>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</si>
  <si>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</si>
  <si>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</si>
  <si>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</si>
  <si>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</si>
  <si>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</si>
  <si>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</si>
  <si>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</si>
  <si>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</si>
  <si>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</si>
  <si>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</si>
  <si>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</si>
  <si>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</si>
  <si>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</si>
  <si>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</si>
  <si>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</si>
  <si>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</si>
  <si>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</si>
  <si>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</si>
  <si>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</si>
  <si>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</si>
  <si>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</si>
  <si>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</si>
  <si>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</si>
  <si>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</si>
  <si>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</si>
  <si>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</si>
  <si>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</si>
  <si>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</si>
  <si>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</si>
  <si>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</si>
  <si>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</si>
  <si>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</si>
  <si>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</si>
  <si>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</si>
  <si>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</si>
  <si>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</si>
  <si>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</si>
  <si>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</si>
  <si>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</si>
  <si>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</si>
  <si>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</si>
  <si>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</si>
  <si>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</si>
  <si>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</si>
  <si>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</si>
  <si>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</si>
  <si>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</si>
  <si>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</si>
  <si>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</si>
  <si>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</si>
  <si>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</si>
  <si>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</si>
  <si>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</si>
  <si>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</si>
  <si>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</si>
  <si>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</si>
  <si>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</si>
  <si>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</si>
  <si>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</si>
  <si>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</si>
  <si>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</si>
  <si>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</si>
  <si>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</si>
  <si>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</si>
  <si>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</si>
  <si>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</si>
  <si>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</si>
  <si>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</si>
  <si>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</si>
  <si>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</si>
  <si>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</si>
  <si>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</si>
  <si>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</si>
  <si>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</si>
  <si>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</si>
  <si>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</si>
  <si>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</si>
  <si>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</si>
  <si>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</si>
  <si>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</si>
  <si>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</si>
  <si>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</si>
  <si>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</si>
  <si>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</si>
  <si>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</si>
  <si>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</si>
  <si>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</si>
  <si>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</si>
  <si>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</si>
  <si>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</si>
  <si>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</si>
  <si>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</si>
  <si>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</si>
  <si>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</si>
  <si>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</si>
  <si>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</si>
  <si>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</si>
  <si>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</si>
  <si>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</si>
  <si>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</si>
  <si>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</si>
  <si>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</si>
  <si>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</si>
  <si>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</si>
  <si>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</si>
  <si>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</si>
  <si>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</si>
  <si>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</si>
  <si>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</si>
  <si>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</si>
  <si>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</si>
  <si>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</si>
  <si>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</si>
  <si>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</si>
  <si>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</si>
  <si>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</si>
  <si>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</si>
  <si>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</si>
  <si>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</si>
  <si>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</si>
  <si>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</si>
  <si>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</si>
  <si>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</si>
  <si>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</si>
  <si>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</si>
  <si>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</si>
  <si>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</si>
  <si>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</si>
  <si>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</si>
  <si>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</si>
  <si>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</si>
  <si>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</si>
  <si>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</si>
  <si>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</si>
  <si>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</si>
  <si>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</si>
  <si>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</si>
  <si>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</si>
  <si>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</si>
  <si>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</si>
  <si>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</si>
  <si>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</si>
  <si>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</si>
  <si>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</si>
  <si>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</si>
  <si>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</si>
  <si>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</si>
  <si>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</si>
  <si>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</si>
  <si>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</si>
  <si>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</si>
  <si>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</si>
  <si>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</si>
  <si>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</si>
  <si>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</si>
  <si>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</si>
  <si>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</si>
  <si>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</si>
  <si>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</si>
  <si>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</si>
  <si>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</si>
  <si>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</si>
  <si>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</si>
  <si>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</si>
  <si>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</si>
  <si>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</si>
  <si>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</si>
  <si>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</si>
  <si>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</si>
  <si>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</si>
  <si>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</si>
  <si>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</si>
  <si>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</si>
  <si>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</si>
  <si>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</si>
  <si>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</si>
  <si>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</si>
  <si>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</si>
  <si>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</si>
  <si>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</si>
  <si>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</si>
  <si>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</si>
  <si>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</si>
  <si>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</si>
  <si>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</si>
  <si>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</si>
  <si>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</si>
  <si>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</si>
  <si>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</si>
  <si>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</si>
  <si>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</si>
  <si>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</si>
  <si>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</si>
  <si>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</si>
  <si>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</si>
  <si>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</si>
  <si>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</si>
  <si>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</si>
  <si>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</si>
  <si>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</si>
  <si>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</si>
  <si>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</si>
  <si>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</si>
  <si>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</si>
  <si>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</si>
  <si>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</si>
  <si>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</si>
  <si>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</si>
  <si>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</si>
  <si>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</si>
  <si>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</si>
  <si>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</si>
  <si>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</si>
  <si>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</si>
  <si>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</si>
  <si>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</si>
  <si>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</si>
  <si>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</si>
  <si>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</si>
  <si>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</si>
  <si>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</si>
  <si>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</si>
  <si>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</si>
  <si>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</si>
  <si>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</si>
  <si>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</si>
  <si>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</si>
  <si>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</si>
  <si>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</si>
  <si>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</si>
  <si>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</si>
  <si>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</si>
  <si>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</si>
  <si>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</si>
  <si>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</si>
  <si>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</si>
  <si>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</si>
  <si>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</si>
  <si>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</si>
  <si>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</si>
  <si>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</si>
  <si>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</si>
  <si>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</si>
  <si>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</si>
  <si>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</si>
  <si>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</si>
  <si>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</si>
  <si>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</si>
  <si>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</si>
  <si>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</si>
  <si>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</si>
  <si>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</si>
  <si>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</si>
  <si>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</si>
  <si>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</si>
  <si>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</si>
  <si>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</si>
  <si>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</si>
  <si>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</si>
  <si>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</si>
  <si>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</si>
  <si>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</si>
  <si>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</si>
  <si>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</si>
  <si>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</si>
  <si>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</si>
  <si>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</si>
  <si>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</si>
  <si>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</si>
  <si>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</si>
  <si>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</si>
  <si>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</si>
  <si>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</si>
  <si>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</si>
  <si>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</si>
  <si>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</si>
  <si>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</si>
  <si>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</si>
  <si>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</si>
  <si>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</si>
  <si>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</si>
  <si>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</si>
  <si>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</si>
  <si>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</si>
  <si>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</si>
  <si>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</si>
  <si>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</si>
  <si>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</si>
  <si>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</si>
  <si>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</si>
  <si>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</si>
  <si>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</si>
  <si>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</si>
  <si>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</si>
  <si>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</si>
  <si>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</si>
  <si>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</si>
  <si>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</si>
  <si>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</si>
  <si>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</si>
  <si>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</si>
  <si>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</si>
  <si>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</si>
  <si>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</si>
  <si>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</si>
  <si>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</si>
  <si>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</si>
  <si>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</si>
  <si>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</si>
  <si>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</si>
  <si>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</si>
  <si>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</si>
  <si>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</si>
  <si>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</si>
  <si>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</si>
  <si>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</si>
  <si>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</si>
  <si>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</si>
  <si>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</si>
  <si>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</si>
  <si>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</si>
  <si>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</si>
  <si>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</si>
  <si>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</si>
  <si>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</si>
  <si>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</si>
  <si>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</si>
  <si>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</si>
  <si>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</si>
  <si>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</si>
  <si>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</si>
  <si>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</si>
  <si>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</si>
  <si>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</si>
  <si>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</si>
  <si>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</si>
  <si>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</si>
  <si>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</si>
  <si>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</si>
  <si>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</si>
  <si>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</si>
  <si>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</si>
  <si>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</si>
  <si>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</si>
  <si>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</si>
  <si>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</si>
  <si>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</si>
  <si>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</si>
  <si>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</si>
  <si>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</si>
  <si>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</si>
  <si>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</si>
  <si>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</si>
  <si>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</si>
  <si>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</si>
  <si>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</si>
  <si>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</si>
  <si>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</si>
  <si>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</si>
  <si>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</si>
  <si>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</si>
  <si>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</si>
  <si>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</si>
  <si>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</si>
  <si>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</si>
  <si>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</si>
  <si>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</si>
  <si>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</si>
  <si>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</si>
  <si>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</si>
  <si>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</si>
  <si>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</si>
  <si>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</si>
  <si>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</si>
  <si>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</si>
  <si>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</si>
  <si>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</si>
  <si>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</si>
  <si>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</si>
  <si>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</si>
  <si>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</si>
  <si>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</si>
  <si>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</si>
  <si>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</si>
  <si>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</si>
  <si>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</si>
  <si>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</si>
  <si>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</si>
  <si>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</si>
  <si>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</si>
  <si>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</si>
  <si>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</si>
  <si>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</si>
  <si>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</si>
  <si>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</si>
  <si>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</si>
  <si>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</si>
  <si>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</si>
  <si>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</si>
  <si>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</si>
  <si>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</si>
  <si>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</si>
  <si>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</si>
  <si>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</si>
  <si>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</si>
  <si>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</si>
  <si>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</si>
  <si>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</si>
  <si>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</si>
  <si>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</si>
  <si>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</si>
  <si>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</si>
  <si>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</si>
  <si>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</si>
  <si>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</si>
  <si>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</si>
  <si>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</si>
  <si>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</si>
  <si>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</si>
  <si>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</si>
  <si>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</si>
  <si>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</si>
  <si>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</si>
  <si>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</si>
  <si>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</si>
  <si>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</si>
  <si>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</si>
  <si>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</si>
  <si>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</si>
  <si>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</si>
  <si>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</si>
  <si>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</si>
  <si>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</si>
  <si>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</si>
  <si>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</si>
  <si>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</si>
  <si>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</si>
  <si>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</si>
  <si>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</si>
  <si>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</si>
  <si>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</si>
  <si>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</si>
  <si>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</si>
  <si>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</si>
  <si>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</si>
  <si>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</si>
  <si>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</si>
  <si>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</si>
  <si>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</si>
  <si>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</si>
  <si>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</si>
  <si>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</si>
  <si>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</si>
  <si>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</si>
  <si>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</si>
  <si>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</si>
  <si>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</si>
  <si>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</si>
  <si>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</si>
  <si>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</si>
  <si>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</si>
  <si>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</si>
  <si>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</si>
  <si>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</si>
  <si>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</si>
  <si>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</si>
  <si>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</si>
  <si>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</si>
  <si>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</si>
  <si>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</si>
  <si>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</si>
  <si>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</si>
  <si>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</si>
  <si>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</si>
  <si>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</si>
  <si>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</si>
  <si>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</si>
  <si>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</si>
  <si>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</si>
  <si>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</si>
  <si>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</si>
  <si>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</si>
  <si>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</si>
  <si>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</si>
  <si>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</si>
  <si>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</si>
  <si>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</si>
  <si>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</si>
  <si>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</si>
  <si>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</si>
  <si>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</si>
  <si>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</si>
  <si>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</si>
  <si>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</si>
  <si>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</si>
  <si>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</si>
  <si>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</si>
  <si>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</si>
  <si>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</si>
  <si>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</si>
  <si>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</si>
  <si>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</si>
  <si>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</si>
  <si>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</si>
  <si>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</si>
  <si>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</si>
  <si>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</si>
  <si>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</si>
  <si>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</si>
  <si>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</si>
  <si>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</si>
  <si>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</si>
  <si>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</si>
  <si>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</si>
  <si>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</si>
  <si>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</si>
  <si>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</si>
  <si>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</si>
  <si>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</si>
  <si>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</si>
  <si>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</si>
  <si>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</si>
  <si>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</si>
  <si>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</si>
  <si>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</si>
  <si>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</si>
  <si>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</si>
  <si>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</si>
  <si>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</si>
  <si>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</si>
  <si>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</si>
  <si>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</si>
  <si>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</si>
  <si>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</si>
  <si>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</si>
  <si>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</si>
  <si>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</si>
  <si>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</si>
  <si>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</si>
  <si>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</si>
  <si>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</si>
  <si>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</si>
  <si>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</si>
  <si>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</si>
  <si>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</si>
  <si>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</si>
  <si>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</si>
  <si>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</si>
  <si>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</si>
  <si>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</si>
  <si>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</si>
  <si>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</si>
  <si>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</si>
  <si>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</si>
  <si>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</si>
  <si>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</si>
  <si>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</si>
  <si>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</si>
  <si>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</si>
  <si>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</si>
  <si>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</si>
  <si>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</si>
  <si>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</si>
  <si>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</si>
  <si>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</si>
  <si>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</si>
  <si>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</si>
  <si>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</si>
  <si>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</si>
  <si>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</si>
  <si>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</si>
  <si>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</si>
  <si>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</si>
  <si>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</si>
  <si>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</si>
  <si>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</si>
  <si>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</si>
  <si>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</si>
  <si>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</si>
  <si>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</si>
  <si>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</si>
  <si>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</si>
  <si>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</si>
  <si>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</si>
  <si>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</si>
  <si>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</si>
  <si>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</si>
  <si>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</si>
  <si>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</si>
  <si>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</si>
  <si>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</si>
  <si>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</si>
  <si>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</si>
  <si>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</si>
  <si>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</si>
  <si>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</si>
  <si>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</si>
  <si>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</si>
  <si>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</si>
  <si>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</si>
  <si>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</si>
  <si>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</si>
  <si>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</si>
  <si>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</si>
  <si>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</si>
  <si>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</si>
  <si>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</si>
  <si>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</si>
  <si>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</si>
  <si>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</si>
  <si>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</si>
  <si>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</si>
  <si>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</si>
  <si>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</si>
  <si>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</si>
  <si>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</si>
  <si>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</si>
  <si>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</si>
  <si>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</si>
  <si>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</si>
  <si>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</si>
  <si>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</si>
  <si>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</si>
  <si>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</si>
  <si>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</si>
  <si>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</si>
  <si>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</si>
  <si>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</si>
  <si>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</si>
  <si>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</si>
  <si>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</si>
  <si>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</si>
  <si>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</si>
  <si>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</si>
  <si>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</si>
  <si>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</si>
  <si>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</si>
  <si>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</si>
  <si>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</si>
  <si>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</si>
  <si>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</si>
  <si>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</si>
  <si>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</si>
  <si>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</si>
  <si>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</si>
  <si>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</si>
  <si>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</si>
  <si>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</si>
  <si>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</si>
  <si>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</si>
  <si>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</si>
  <si>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</si>
  <si>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</si>
  <si>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</si>
  <si>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</si>
  <si>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</si>
  <si>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</si>
  <si>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</si>
  <si>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</si>
  <si>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</si>
  <si>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</si>
  <si>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</si>
  <si>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</si>
  <si>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</si>
  <si>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</si>
  <si>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</si>
  <si>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</si>
  <si>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</si>
  <si>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</si>
  <si>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</si>
  <si>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</si>
  <si>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</si>
  <si>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</si>
  <si>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</si>
  <si>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</si>
  <si>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</si>
  <si>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</si>
  <si>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</si>
  <si>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</si>
  <si>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</si>
  <si>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</si>
  <si>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</si>
  <si>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</si>
  <si>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</si>
  <si>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</si>
  <si>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</si>
  <si>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</si>
  <si>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</si>
  <si>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</si>
  <si>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</si>
  <si>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</si>
  <si>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</si>
  <si>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</si>
  <si>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</si>
  <si>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</si>
  <si>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</si>
  <si>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</si>
  <si>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</si>
  <si>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</si>
  <si>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</si>
  <si>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</si>
  <si>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</si>
  <si>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</si>
  <si>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</si>
  <si>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</si>
  <si>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</si>
  <si>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</si>
  <si>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</si>
  <si>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</si>
  <si>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</si>
  <si>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</si>
  <si>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</si>
  <si>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</si>
  <si>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</si>
  <si>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</si>
  <si>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</si>
  <si>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</si>
  <si>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</si>
  <si>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</si>
  <si>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</si>
  <si>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</si>
  <si>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</si>
  <si>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</si>
  <si>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</si>
  <si>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</si>
  <si>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</si>
  <si>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</si>
  <si>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</si>
  <si>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</si>
  <si>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</si>
  <si>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</si>
  <si>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</si>
  <si>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</si>
  <si>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</si>
  <si>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</si>
  <si>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</si>
  <si>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</si>
  <si>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</si>
  <si>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</si>
  <si>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</si>
  <si>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</si>
  <si>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</si>
  <si>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</si>
  <si>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</si>
  <si>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</si>
  <si>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</si>
  <si>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</si>
  <si>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</si>
  <si>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</si>
  <si>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</si>
  <si>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</si>
  <si>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</si>
  <si>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</si>
  <si>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</si>
  <si>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</si>
  <si>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</si>
  <si>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</si>
  <si>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</si>
  <si>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</si>
  <si>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</si>
  <si>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</si>
  <si>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</si>
  <si>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</si>
  <si>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</si>
  <si>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</si>
  <si>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</si>
  <si>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</si>
  <si>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</si>
  <si>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</si>
  <si>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</si>
  <si>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</si>
  <si>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</si>
  <si>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</si>
  <si>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</si>
  <si>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</si>
  <si>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</si>
  <si>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</si>
  <si>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</si>
  <si>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</si>
  <si>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</si>
  <si>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</si>
  <si>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</si>
  <si>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</si>
  <si>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</si>
  <si>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</si>
  <si>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</si>
  <si>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</si>
  <si>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</si>
  <si>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</si>
  <si>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</si>
  <si>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</si>
  <si>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</si>
  <si>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</si>
  <si>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</si>
  <si>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</si>
  <si>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</si>
  <si>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</si>
  <si>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</si>
  <si>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</si>
  <si>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</si>
  <si>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</si>
  <si>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</si>
  <si>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</si>
  <si>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</si>
  <si>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</si>
  <si>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</si>
  <si>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</si>
  <si>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</si>
  <si>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</si>
  <si>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</si>
  <si>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</si>
  <si>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</si>
  <si>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</si>
  <si>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</si>
  <si>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</si>
  <si>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</si>
  <si>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</si>
  <si>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</si>
  <si>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</si>
  <si>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</si>
  <si>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</si>
  <si>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</si>
  <si>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</si>
  <si>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</si>
  <si>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</si>
  <si>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</si>
  <si>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</si>
  <si>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</si>
  <si>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</si>
  <si>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</si>
  <si>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</si>
  <si>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</si>
  <si>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</si>
  <si>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</si>
  <si>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</si>
  <si>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</si>
  <si>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</si>
  <si>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</si>
  <si>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</si>
  <si>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</si>
  <si>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</si>
  <si>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</si>
  <si>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</si>
  <si>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</si>
  <si>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</si>
  <si>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</si>
  <si>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</si>
  <si>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</si>
  <si>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</si>
  <si>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</si>
  <si>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</si>
  <si>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</si>
  <si>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</si>
  <si>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</si>
  <si>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</si>
  <si>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</si>
  <si>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</si>
  <si>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</si>
  <si>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</si>
  <si>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</si>
  <si>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</si>
  <si>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</si>
  <si>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</si>
  <si>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</si>
  <si>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</si>
  <si>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</si>
  <si>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</si>
  <si>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</si>
  <si>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</si>
  <si>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</si>
  <si>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</si>
  <si>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</si>
  <si>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</si>
  <si>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</si>
  <si>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</si>
  <si>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</si>
  <si>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</si>
  <si>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</si>
  <si>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</si>
  <si>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</si>
  <si>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</si>
  <si>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</si>
  <si>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</si>
  <si>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</si>
  <si>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</si>
  <si>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</si>
  <si>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</si>
  <si>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</si>
  <si>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</si>
  <si>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</si>
  <si>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</si>
  <si>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</si>
  <si>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</si>
  <si>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</si>
  <si>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</si>
  <si>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</si>
  <si>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</si>
  <si>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</si>
  <si>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</si>
  <si>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</si>
  <si>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</si>
  <si>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</si>
  <si>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</si>
  <si>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</si>
  <si>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</si>
  <si>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</si>
  <si>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</si>
  <si>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</si>
  <si>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</si>
  <si>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</si>
  <si>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</si>
  <si>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</si>
  <si>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</si>
  <si>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</si>
  <si>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</si>
  <si>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</si>
  <si>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</si>
  <si>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</si>
  <si>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</si>
  <si>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</si>
  <si>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</si>
  <si>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</si>
  <si>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</si>
  <si>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</si>
  <si>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</si>
  <si>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</si>
  <si>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</si>
  <si>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</si>
  <si>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</si>
  <si>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</si>
  <si>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</si>
  <si>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</si>
  <si>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</si>
  <si>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</si>
  <si>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</si>
  <si>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</si>
  <si>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</si>
  <si>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</si>
  <si>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</si>
  <si>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</si>
  <si>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</si>
  <si>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</si>
  <si>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</si>
  <si>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</si>
  <si>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</si>
  <si>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</si>
  <si>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</si>
  <si>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</si>
  <si>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</si>
  <si>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</si>
  <si>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</si>
  <si>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</si>
  <si>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</si>
  <si>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</si>
  <si>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</si>
  <si>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</si>
  <si>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</si>
  <si>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</si>
  <si>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</si>
  <si>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</si>
  <si>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</si>
  <si>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</si>
  <si>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</si>
  <si>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</si>
  <si>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</si>
  <si>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</si>
  <si>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</si>
  <si>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</si>
  <si>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</si>
  <si>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</si>
  <si>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</si>
  <si>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</si>
  <si>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</si>
  <si>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</si>
  <si>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</si>
  <si>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</si>
  <si>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</si>
  <si>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</si>
  <si>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</si>
  <si>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</si>
  <si>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</si>
  <si>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</si>
  <si>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</si>
  <si>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</si>
  <si>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</si>
  <si>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</si>
  <si>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</si>
  <si>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</si>
  <si>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</si>
  <si>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</si>
  <si>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</si>
  <si>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</si>
  <si>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</si>
  <si>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</si>
  <si>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</si>
  <si>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</si>
  <si>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</si>
  <si>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</si>
  <si>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</si>
  <si>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</si>
  <si>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</si>
  <si>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</si>
  <si>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</si>
  <si>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</si>
  <si>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</si>
  <si>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</si>
  <si>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</si>
  <si>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</si>
  <si>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</si>
  <si>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</si>
  <si>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</si>
  <si>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</si>
  <si>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</si>
  <si>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</si>
  <si>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</si>
  <si>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</si>
  <si>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</si>
  <si>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</si>
  <si>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</si>
  <si>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</si>
  <si>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</si>
  <si>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</si>
  <si>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</si>
  <si>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</si>
  <si>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</si>
  <si>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</si>
  <si>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</si>
  <si>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</si>
  <si>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</si>
  <si>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</si>
  <si>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</si>
  <si>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</si>
  <si>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</si>
  <si>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</si>
  <si>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</si>
  <si>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</si>
  <si>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</si>
  <si>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</si>
  <si>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</si>
  <si>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</si>
  <si>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</si>
  <si>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</si>
  <si>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</si>
  <si>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</si>
  <si>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</si>
  <si>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</si>
  <si>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</si>
  <si>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</si>
  <si>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</si>
  <si>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</si>
  <si>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</si>
  <si>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</si>
  <si>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</si>
  <si>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</si>
  <si>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</si>
  <si>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</si>
  <si>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</si>
  <si>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</si>
  <si>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</si>
  <si>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</si>
  <si>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</si>
  <si>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</si>
  <si>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</si>
  <si>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</si>
  <si>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</si>
  <si>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</si>
  <si>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</si>
  <si>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</si>
  <si>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</si>
  <si>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</si>
  <si>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</si>
  <si>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</si>
  <si>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</si>
  <si>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</si>
  <si>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</si>
  <si>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</si>
  <si>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</si>
  <si>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</si>
  <si>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</si>
  <si>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</si>
  <si>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</si>
  <si>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</si>
  <si>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</si>
  <si>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</si>
  <si>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</si>
  <si>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</si>
  <si>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</si>
  <si>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</si>
  <si>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</si>
  <si>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</si>
  <si>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</si>
  <si>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</si>
  <si>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</si>
  <si>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</si>
  <si>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</si>
  <si>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</si>
  <si>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</si>
  <si>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</si>
  <si>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</si>
  <si>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</si>
  <si>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</si>
  <si>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</si>
  <si>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</si>
  <si>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</si>
  <si>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</si>
  <si>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</si>
  <si>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</si>
  <si>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</si>
  <si>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</si>
  <si>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</si>
  <si>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</si>
  <si>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</si>
  <si>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</si>
  <si>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</si>
  <si>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</si>
  <si>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</si>
  <si>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</si>
  <si>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</si>
  <si>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</si>
  <si>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</si>
  <si>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</si>
  <si>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</si>
  <si>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</si>
  <si>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</si>
  <si>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</si>
  <si>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</si>
  <si>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</si>
  <si>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</si>
  <si>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</si>
  <si>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</si>
  <si>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</si>
  <si>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</si>
  <si>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</si>
  <si>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</si>
  <si>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</si>
  <si>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</si>
  <si>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</si>
  <si>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</si>
  <si>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</si>
  <si>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</si>
  <si>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</si>
  <si>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</si>
  <si>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</si>
  <si>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</si>
  <si>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</si>
  <si>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</si>
  <si>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</si>
  <si>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</si>
  <si>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</si>
  <si>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</si>
  <si>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</si>
  <si>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</si>
  <si>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</si>
  <si>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</si>
  <si>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</si>
  <si>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</si>
  <si>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</si>
  <si>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</si>
  <si>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</si>
  <si>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</si>
  <si>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</si>
  <si>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</si>
  <si>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</si>
  <si>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</si>
  <si>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</si>
  <si>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</si>
  <si>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</si>
  <si>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</si>
  <si>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</si>
  <si>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</si>
  <si>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</si>
  <si>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</si>
  <si>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</si>
  <si>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</si>
  <si>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</si>
  <si>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</si>
  <si>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</si>
  <si>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</si>
  <si>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</si>
  <si>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</si>
  <si>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</si>
  <si>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</si>
  <si>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</si>
  <si>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</si>
  <si>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</si>
  <si>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</si>
  <si>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</si>
  <si>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</si>
  <si>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</si>
  <si>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</si>
  <si>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</si>
  <si>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</si>
  <si>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</si>
  <si>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</si>
  <si>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</si>
  <si>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</si>
  <si>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</si>
  <si>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</si>
  <si>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</si>
  <si>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</si>
  <si>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</si>
  <si>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</si>
  <si>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</si>
  <si>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</si>
  <si>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</si>
  <si>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</si>
  <si>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</si>
  <si>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</si>
  <si>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</si>
  <si>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</si>
  <si>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</si>
  <si>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</si>
  <si>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</si>
  <si>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</si>
  <si>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</si>
  <si>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</si>
  <si>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</si>
  <si>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</si>
  <si>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</si>
  <si>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</si>
  <si>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</si>
  <si>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</si>
  <si>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</si>
  <si>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</si>
  <si>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</si>
  <si>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</si>
  <si>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</si>
  <si>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</si>
  <si>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</si>
  <si>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</si>
  <si>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</si>
  <si>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</si>
  <si>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</si>
  <si>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</si>
  <si>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</si>
  <si>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</si>
  <si>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</si>
  <si>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</si>
  <si>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</si>
  <si>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</si>
  <si>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</si>
  <si>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</si>
  <si>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</si>
  <si>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</si>
  <si>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</si>
  <si>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</si>
  <si>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</si>
  <si>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</si>
  <si>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</si>
  <si>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</si>
  <si>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</si>
  <si>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</si>
  <si>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</si>
  <si>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</si>
  <si>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</si>
  <si>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</si>
  <si>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</si>
  <si>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</si>
  <si>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</si>
  <si>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</si>
  <si>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</si>
  <si>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</si>
  <si>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</si>
  <si>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</si>
  <si>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</si>
  <si>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</si>
  <si>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</si>
  <si>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</si>
  <si>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</si>
  <si>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</si>
  <si>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</si>
  <si>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</si>
  <si>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</si>
  <si>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</si>
  <si>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</si>
  <si>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</si>
  <si>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</si>
  <si>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</si>
  <si>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</si>
  <si>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</si>
  <si>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</si>
  <si>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</si>
  <si>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</si>
  <si>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</si>
  <si>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</si>
  <si>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</si>
  <si>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</si>
  <si>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</si>
  <si>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</si>
  <si>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</si>
  <si>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</si>
  <si>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</si>
  <si>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</si>
  <si>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</si>
  <si>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</si>
  <si>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</si>
  <si>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</si>
  <si>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</si>
  <si>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</si>
  <si>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</si>
  <si>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</si>
  <si>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</si>
  <si>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</si>
  <si>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</si>
  <si>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</si>
  <si>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</si>
  <si>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</si>
  <si>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</si>
  <si>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</si>
  <si>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</si>
  <si>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</si>
  <si>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</si>
  <si>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</si>
  <si>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</si>
  <si>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</si>
  <si>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</si>
  <si>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</si>
  <si>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</si>
  <si>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</si>
  <si>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</si>
  <si>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</si>
  <si>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</si>
  <si>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</si>
  <si>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</si>
  <si>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</si>
  <si>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</si>
  <si>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</si>
  <si>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</si>
  <si>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</si>
  <si>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</si>
  <si>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</si>
  <si>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</si>
  <si>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</si>
  <si>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</si>
  <si>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</si>
  <si>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</si>
  <si>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</si>
  <si>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</si>
  <si>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</si>
  <si>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</si>
  <si>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</si>
  <si>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</si>
  <si>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</si>
  <si>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</si>
  <si>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</si>
  <si>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</si>
  <si>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</si>
  <si>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</si>
  <si>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</si>
  <si>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</si>
  <si>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</si>
  <si>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</si>
  <si>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</si>
  <si>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</si>
  <si>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</si>
  <si>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</si>
  <si>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</si>
  <si>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</si>
  <si>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</si>
  <si>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</si>
  <si>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</si>
  <si>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</si>
  <si>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</si>
  <si>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</si>
  <si>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</si>
  <si>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</si>
  <si>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</si>
  <si>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</si>
  <si>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</si>
  <si>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</si>
  <si>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</si>
  <si>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</si>
  <si>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</si>
  <si>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</si>
  <si>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</si>
  <si>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</si>
  <si>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</si>
  <si>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</si>
  <si>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</si>
  <si>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</si>
  <si>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</si>
  <si>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</si>
  <si>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</si>
  <si>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</si>
  <si>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</si>
  <si>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</si>
  <si>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</si>
  <si>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</si>
  <si>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</si>
  <si>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</si>
  <si>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</si>
  <si>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</si>
  <si>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</si>
  <si>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</si>
  <si>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</si>
  <si>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</si>
  <si>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</si>
  <si>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</si>
  <si>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</si>
  <si>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</si>
  <si>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</si>
  <si>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</si>
  <si>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</si>
  <si>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</si>
  <si>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</si>
  <si>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</si>
  <si>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</si>
  <si>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</si>
  <si>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</si>
  <si>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</si>
  <si>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</si>
  <si>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</si>
  <si>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</si>
  <si>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</si>
  <si>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</si>
  <si>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</si>
  <si>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</si>
  <si>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</si>
  <si>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</si>
  <si>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</si>
  <si>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</si>
  <si>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</si>
  <si>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</si>
  <si>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</si>
  <si>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</si>
  <si>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</si>
  <si>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</si>
  <si>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</si>
  <si>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</si>
  <si>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</si>
  <si>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</si>
  <si>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</si>
  <si>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</si>
  <si>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</si>
  <si>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</si>
  <si>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</si>
  <si>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</si>
  <si>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</si>
  <si>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</si>
  <si>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</si>
  <si>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</si>
  <si>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</si>
  <si>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</si>
  <si>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</si>
  <si>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</si>
  <si>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</si>
  <si>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</si>
  <si>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</si>
  <si>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</si>
  <si>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</si>
  <si>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</si>
  <si>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</si>
  <si>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</si>
  <si>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</si>
  <si>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</si>
  <si>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</si>
  <si>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</si>
  <si>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</si>
  <si>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</si>
  <si>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</si>
  <si>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</si>
  <si>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</si>
  <si>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</si>
  <si>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</si>
  <si>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</si>
  <si>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</si>
  <si>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</si>
  <si>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</si>
  <si>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</si>
  <si>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</si>
  <si>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</si>
  <si>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</si>
  <si>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</si>
  <si>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</si>
  <si>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</si>
  <si>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</si>
  <si>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</si>
  <si>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</si>
  <si>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</si>
  <si>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</si>
  <si>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</si>
  <si>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</si>
  <si>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</si>
  <si>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</si>
  <si>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</si>
  <si>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</si>
  <si>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</si>
  <si>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</si>
  <si>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</si>
  <si>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</si>
  <si>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</si>
  <si>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</si>
  <si>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</si>
  <si>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</si>
  <si>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</si>
  <si>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</si>
  <si>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</si>
  <si>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</si>
  <si>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</si>
  <si>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</si>
  <si>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</si>
  <si>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</si>
  <si>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</si>
  <si>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</si>
  <si>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</si>
  <si>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</si>
  <si>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</si>
  <si>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</si>
  <si>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</si>
  <si>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</si>
  <si>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</si>
  <si>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</si>
  <si>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</si>
  <si>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</si>
  <si>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</si>
  <si>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</si>
  <si>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</si>
  <si>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</si>
  <si>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</si>
  <si>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</si>
  <si>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</si>
  <si>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</si>
  <si>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</si>
  <si>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</si>
  <si>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</si>
  <si>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</si>
  <si>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</si>
  <si>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</si>
  <si>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</si>
  <si>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</si>
  <si>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</si>
  <si>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</si>
  <si>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</si>
  <si>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</si>
  <si>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</si>
  <si>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</si>
  <si>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</si>
  <si>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</si>
  <si>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</si>
  <si>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</si>
  <si>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</si>
  <si>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</si>
  <si>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</si>
  <si>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</si>
  <si>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</si>
  <si>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</si>
  <si>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</si>
  <si>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</si>
  <si>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</si>
  <si>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</si>
  <si>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</si>
  <si>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</si>
  <si>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</si>
  <si>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</si>
  <si>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</si>
  <si>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</si>
  <si>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</si>
  <si>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</si>
  <si>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</si>
  <si>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</si>
  <si>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</si>
  <si>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</si>
  <si>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</si>
  <si>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</si>
  <si>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</si>
  <si>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</si>
  <si>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</si>
  <si>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</si>
  <si>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</si>
  <si>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</si>
  <si>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</si>
  <si>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</si>
  <si>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</si>
  <si>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</si>
  <si>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</si>
  <si>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</si>
  <si>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</si>
  <si>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</si>
  <si>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</si>
  <si>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</si>
  <si>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</si>
  <si>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</si>
  <si>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</si>
  <si>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</si>
  <si>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</si>
  <si>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</si>
  <si>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</si>
  <si>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</si>
  <si>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</si>
  <si>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</si>
  <si>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</si>
  <si>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</si>
  <si>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</si>
  <si>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</si>
  <si>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</si>
  <si>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</si>
  <si>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</si>
  <si>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</si>
  <si>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</si>
  <si>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</si>
  <si>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</si>
  <si>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</si>
  <si>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</si>
  <si>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</si>
  <si>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</si>
  <si>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</si>
  <si>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</si>
  <si>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</si>
  <si>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</si>
  <si>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</si>
  <si>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</si>
  <si>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</si>
  <si>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</si>
  <si>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</si>
  <si>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</si>
  <si>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</si>
  <si>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</si>
  <si>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</si>
  <si>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</si>
  <si>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</si>
  <si>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</si>
  <si>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</si>
  <si>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</si>
  <si>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</si>
  <si>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</si>
  <si>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</si>
  <si>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</si>
  <si>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</si>
  <si>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</si>
  <si>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</si>
  <si>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</si>
  <si>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</si>
  <si>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</si>
  <si>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</si>
  <si>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</si>
  <si>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</si>
  <si>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</si>
  <si>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</si>
  <si>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</si>
  <si>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</si>
  <si>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</si>
  <si>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</si>
  <si>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</si>
  <si>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</si>
  <si>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</si>
  <si>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</si>
  <si>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</si>
  <si>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</si>
  <si>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</si>
  <si>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</si>
  <si>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</si>
  <si>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</si>
  <si>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</si>
  <si>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</si>
  <si>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</si>
  <si>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</si>
  <si>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</si>
  <si>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</si>
  <si>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</si>
  <si>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</si>
  <si>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</si>
  <si>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</si>
  <si>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</si>
  <si>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</si>
  <si>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</si>
  <si>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</si>
  <si>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</si>
  <si>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</si>
  <si>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</si>
  <si>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</si>
  <si>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</si>
  <si>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</si>
  <si>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</si>
  <si>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</si>
  <si>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</si>
  <si>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</si>
  <si>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</si>
  <si>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</si>
  <si>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</si>
  <si>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</si>
  <si>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</si>
  <si>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</si>
  <si>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</si>
  <si>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</si>
  <si>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</si>
  <si>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</si>
  <si>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</si>
  <si>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</si>
  <si>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</si>
  <si>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</si>
  <si>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</si>
  <si>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</si>
  <si>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</si>
  <si>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</si>
  <si>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</si>
  <si>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</si>
  <si>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</si>
  <si>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</si>
  <si>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</si>
  <si>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</si>
  <si>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</si>
  <si>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</si>
  <si>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</si>
  <si>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</si>
  <si>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</si>
  <si>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</si>
  <si>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</si>
  <si>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</si>
  <si>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</si>
  <si>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</si>
  <si>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</si>
  <si>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</si>
  <si>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</si>
  <si>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</si>
  <si>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</si>
  <si>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</si>
  <si>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</si>
  <si>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</si>
  <si>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</si>
  <si>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</si>
  <si>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</si>
  <si>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</si>
  <si>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</si>
  <si>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</si>
  <si>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</si>
  <si>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</si>
  <si>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</si>
  <si>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</si>
  <si>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</si>
  <si>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</si>
  <si>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</si>
  <si>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</si>
  <si>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</si>
  <si>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</si>
  <si>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</si>
  <si>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</si>
  <si>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</si>
  <si>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</si>
  <si>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</si>
  <si>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</si>
  <si>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</si>
  <si>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</si>
  <si>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</si>
  <si>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</si>
  <si>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</si>
  <si>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</si>
  <si>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</si>
  <si>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</si>
  <si>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</si>
  <si>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</si>
  <si>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</si>
  <si>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</si>
  <si>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</si>
  <si>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</si>
  <si>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</si>
  <si>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</si>
  <si>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</si>
  <si>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</si>
  <si>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</si>
  <si>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</si>
  <si>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</si>
  <si>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</si>
  <si>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</si>
  <si>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</si>
  <si>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</si>
  <si>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</si>
  <si>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</si>
  <si>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</si>
  <si>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</si>
  <si>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</si>
  <si>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</si>
  <si>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</si>
  <si>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</si>
  <si>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</si>
  <si>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</si>
  <si>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</si>
  <si>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</si>
  <si>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</si>
  <si>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</si>
  <si>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</si>
  <si>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</si>
  <si>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</si>
  <si>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</si>
  <si>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</si>
  <si>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</si>
  <si>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</si>
  <si>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</si>
  <si>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</si>
  <si>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</si>
  <si>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</si>
  <si>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</si>
  <si>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</si>
  <si>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</si>
  <si>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</si>
  <si>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</si>
  <si>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</si>
  <si>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</si>
  <si>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</si>
  <si>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</si>
  <si>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</si>
  <si>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</si>
  <si>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</si>
  <si>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</si>
  <si>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</si>
  <si>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</si>
  <si>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</si>
  <si>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</si>
  <si>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</si>
  <si>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</si>
  <si>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</si>
  <si>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</si>
  <si>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</si>
  <si>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</si>
  <si>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</si>
  <si>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</si>
  <si>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</si>
  <si>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</si>
  <si>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</si>
  <si>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</si>
  <si>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</si>
  <si>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</si>
  <si>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</si>
  <si>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</si>
  <si>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</si>
  <si>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</si>
  <si>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</si>
  <si>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</si>
  <si>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</si>
  <si>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</si>
  <si>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</si>
  <si>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</si>
  <si>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</si>
  <si>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</si>
  <si>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</si>
  <si>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</si>
  <si>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</si>
  <si>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</si>
  <si>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</si>
  <si>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</si>
  <si>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</si>
  <si>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</si>
  <si>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</si>
  <si>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</si>
  <si>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</si>
  <si>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</si>
  <si>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</si>
  <si>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</si>
  <si>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</si>
  <si>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</si>
  <si>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</si>
  <si>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</si>
  <si>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</si>
  <si>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</si>
  <si>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</si>
  <si>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</si>
  <si>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</si>
  <si>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</si>
  <si>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</si>
  <si>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</si>
  <si>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</si>
  <si>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</si>
  <si>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</si>
  <si>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</si>
  <si>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</si>
  <si>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</si>
  <si>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</si>
  <si>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</si>
  <si>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</si>
  <si>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</si>
  <si>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</si>
  <si>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</si>
  <si>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</si>
  <si>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</si>
  <si>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</si>
  <si>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</si>
  <si>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</si>
  <si>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</si>
  <si>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</si>
  <si>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</si>
  <si>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</si>
  <si>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</si>
  <si>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</si>
  <si>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</si>
  <si>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</si>
  <si>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</si>
  <si>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</si>
  <si>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</si>
  <si>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</si>
  <si>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</si>
  <si>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</si>
  <si>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</si>
  <si>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</si>
  <si>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</si>
  <si>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</si>
  <si>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</si>
  <si>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</si>
  <si>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</si>
  <si>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</si>
  <si>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</si>
  <si>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</si>
  <si>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</si>
  <si>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</si>
  <si>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</si>
  <si>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</si>
  <si>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</si>
  <si>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</si>
  <si>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</si>
  <si>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</si>
  <si>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</si>
  <si>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</si>
  <si>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</si>
  <si>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</si>
  <si>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</si>
  <si>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</si>
  <si>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</si>
  <si>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</si>
  <si>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</si>
  <si>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</si>
  <si>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</si>
  <si>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</si>
  <si>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</si>
  <si>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</si>
  <si>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</si>
  <si>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</si>
  <si>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</si>
  <si>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</si>
  <si>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</si>
  <si>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</si>
  <si>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</si>
  <si>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</si>
  <si>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</si>
  <si>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</si>
  <si>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</si>
  <si>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</si>
  <si>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</si>
  <si>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</si>
  <si>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</si>
  <si>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</si>
  <si>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</si>
  <si>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</si>
  <si>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</si>
  <si>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</si>
  <si>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</si>
  <si>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</si>
  <si>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</si>
  <si>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</si>
  <si>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</si>
  <si>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</si>
  <si>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</si>
  <si>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</si>
  <si>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</si>
  <si>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</si>
  <si>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</si>
  <si>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</si>
  <si>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</si>
  <si>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</si>
  <si>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</si>
  <si>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</si>
  <si>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</si>
  <si>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</si>
  <si>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</si>
  <si>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</si>
  <si>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</si>
  <si>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</si>
  <si>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</si>
  <si>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</si>
  <si>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</si>
  <si>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</si>
  <si>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</si>
  <si>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</si>
  <si>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</si>
  <si>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</si>
  <si>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</si>
  <si>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</si>
  <si>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</si>
  <si>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</si>
  <si>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</si>
  <si>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</si>
  <si>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</si>
  <si>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</si>
  <si>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</si>
  <si>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</si>
  <si>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</si>
  <si>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</si>
  <si>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</si>
  <si>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</si>
  <si>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</si>
  <si>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</si>
  <si>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</si>
  <si>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</si>
  <si>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</si>
  <si>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</si>
  <si>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</si>
  <si>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</si>
  <si>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</si>
  <si>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</si>
  <si>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</si>
  <si>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</si>
  <si>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</si>
  <si>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</si>
  <si>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</si>
  <si>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</si>
  <si>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</si>
  <si>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</si>
  <si>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</si>
  <si>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</si>
  <si>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</si>
  <si>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</si>
  <si>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</si>
  <si>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</si>
  <si>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</si>
  <si>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</si>
  <si>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</si>
  <si>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</si>
  <si>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</si>
  <si>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</si>
  <si>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</si>
  <si>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</si>
  <si>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</si>
  <si>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</si>
  <si>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</si>
  <si>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</si>
  <si>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</si>
  <si>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</si>
  <si>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</si>
  <si>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</si>
  <si>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</si>
  <si>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</si>
  <si>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</si>
  <si>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</si>
  <si>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</si>
  <si>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</si>
  <si>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</si>
  <si>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</si>
  <si>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</si>
  <si>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</si>
  <si>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</si>
  <si>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</si>
  <si>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</si>
  <si>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</si>
  <si>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</si>
  <si>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</si>
  <si>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</si>
  <si>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</si>
  <si>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</si>
  <si>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</si>
  <si>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</si>
  <si>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</si>
  <si>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</si>
  <si>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</si>
  <si>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</si>
  <si>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</si>
  <si>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</si>
  <si>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</si>
  <si>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</si>
  <si>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</si>
  <si>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</si>
  <si>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</si>
  <si>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</si>
  <si>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</si>
  <si>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</si>
  <si>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</si>
  <si>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</si>
  <si>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</si>
  <si>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</si>
  <si>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</si>
  <si>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</si>
  <si>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</si>
  <si>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</si>
  <si>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</si>
  <si>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</si>
  <si>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</si>
  <si>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</si>
  <si>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</si>
  <si>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</si>
  <si>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</si>
  <si>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</si>
  <si>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</si>
  <si>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</si>
  <si>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</si>
  <si>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</si>
  <si>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</si>
  <si>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</si>
  <si>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</si>
  <si>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</si>
  <si>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</si>
  <si>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</si>
  <si>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</si>
  <si>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</si>
  <si>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</si>
  <si>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</si>
  <si>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</si>
  <si>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</si>
  <si>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</si>
  <si>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</si>
  <si>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</si>
  <si>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</si>
  <si>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</si>
  <si>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</si>
  <si>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</si>
  <si>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</si>
  <si>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</si>
  <si>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</si>
  <si>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</si>
  <si>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</si>
  <si>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</si>
  <si>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</si>
  <si>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</si>
  <si>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</si>
  <si>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</si>
  <si>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</si>
  <si>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</si>
  <si>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</si>
  <si>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</si>
  <si>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</si>
  <si>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</si>
  <si>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</si>
  <si>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</si>
  <si>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</si>
  <si>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</si>
  <si>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</si>
  <si>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</si>
  <si>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</si>
  <si>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</si>
  <si>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</si>
  <si>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</si>
  <si>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</si>
  <si>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</si>
  <si>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</si>
  <si>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</si>
  <si>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</si>
  <si>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</si>
  <si>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</si>
  <si>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</si>
  <si>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</si>
  <si>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</si>
  <si>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</si>
  <si>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</si>
  <si>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</si>
  <si>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</si>
  <si>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</si>
  <si>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</si>
  <si>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</si>
  <si>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</si>
  <si>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</si>
  <si>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</si>
  <si>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</si>
  <si>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</si>
  <si>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</si>
  <si>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</si>
  <si>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</si>
  <si>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</si>
  <si>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</si>
  <si>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</si>
  <si>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</si>
  <si>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</si>
  <si>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</si>
  <si>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</si>
  <si>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</si>
  <si>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</si>
  <si>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</si>
  <si>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</si>
  <si>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</si>
  <si>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</si>
  <si>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</si>
  <si>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</si>
  <si>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</si>
  <si>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</si>
  <si>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</si>
  <si>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</si>
  <si>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</si>
  <si>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</si>
  <si>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</si>
  <si>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</si>
  <si>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</si>
  <si>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</si>
  <si>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</si>
  <si>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</si>
  <si>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</si>
  <si>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</si>
  <si>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</si>
  <si>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</si>
  <si>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</si>
  <si>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</si>
  <si>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</si>
  <si>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</si>
  <si>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</si>
  <si>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</si>
  <si>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</si>
  <si>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</si>
  <si>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</si>
  <si>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</si>
  <si>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</si>
  <si>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</si>
  <si>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</si>
  <si>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</si>
  <si>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</si>
  <si>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</si>
  <si>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</si>
  <si>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</si>
  <si>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</si>
  <si>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</si>
  <si>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</si>
  <si>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</si>
  <si>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</si>
  <si>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</si>
  <si>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</si>
  <si>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</si>
  <si>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</si>
  <si>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</si>
  <si>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</si>
  <si>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</si>
  <si>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</si>
  <si>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</si>
  <si>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</si>
  <si>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</si>
  <si>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</si>
  <si>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</si>
  <si>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</si>
  <si>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</si>
  <si>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</si>
  <si>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</si>
  <si>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</si>
  <si>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</si>
  <si>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</si>
  <si>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</si>
  <si>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</si>
  <si>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</si>
  <si>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</si>
  <si>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</si>
  <si>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</si>
  <si>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</si>
  <si>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</si>
  <si>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</si>
  <si>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</si>
  <si>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</si>
  <si>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</si>
  <si>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</si>
  <si>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</si>
  <si>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</si>
  <si>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</si>
  <si>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</si>
  <si>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</si>
  <si>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</si>
  <si>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</si>
  <si>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</si>
  <si>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</si>
  <si>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</si>
  <si>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</si>
  <si>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</si>
  <si>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</si>
  <si>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</si>
  <si>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</si>
  <si>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</si>
  <si>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</si>
  <si>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</si>
  <si>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</si>
  <si>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</si>
  <si>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</si>
  <si>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</si>
  <si>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</si>
  <si>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</si>
  <si>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</si>
  <si>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</si>
  <si>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</si>
  <si>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</si>
  <si>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</si>
  <si>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</si>
  <si>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</si>
  <si>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</si>
  <si>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</si>
  <si>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</si>
  <si>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</si>
  <si>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</si>
  <si>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</si>
  <si>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</si>
  <si>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</si>
  <si>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</si>
  <si>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</si>
  <si>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</si>
  <si>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</si>
  <si>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</si>
  <si>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</si>
  <si>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</si>
  <si>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</si>
  <si>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</si>
  <si>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</si>
  <si>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</si>
  <si>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</si>
  <si>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</si>
  <si>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</si>
  <si>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</si>
  <si>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</si>
  <si>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</si>
  <si>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</si>
  <si>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</si>
  <si>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</si>
  <si>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</si>
  <si>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</si>
  <si>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</si>
  <si>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</si>
  <si>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</si>
  <si>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</si>
  <si>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</si>
  <si>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</si>
  <si>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</si>
  <si>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</si>
  <si>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</si>
  <si>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</si>
  <si>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</si>
  <si>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</si>
  <si>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</si>
  <si>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</si>
  <si>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</si>
  <si>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</si>
  <si>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</si>
  <si>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</si>
  <si>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</si>
  <si>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</si>
  <si>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</si>
  <si>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</si>
  <si>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</si>
  <si>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</si>
  <si>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</si>
  <si>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</si>
  <si>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</si>
  <si>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</si>
  <si>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</si>
  <si>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</si>
  <si>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</si>
  <si>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</si>
  <si>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</si>
  <si>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</si>
  <si>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</si>
  <si>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</si>
  <si>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</si>
  <si>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</si>
  <si>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</si>
  <si>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</si>
  <si>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</si>
  <si>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</si>
  <si>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</si>
  <si>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</si>
  <si>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</si>
  <si>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</si>
  <si>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</si>
  <si>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</si>
  <si>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</si>
  <si>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</si>
  <si>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</si>
  <si>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</si>
  <si>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</si>
  <si>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</si>
  <si>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</si>
  <si>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</si>
  <si>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</si>
  <si>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</si>
  <si>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</si>
  <si>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</si>
  <si>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</si>
  <si>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</si>
  <si>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</si>
  <si>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</si>
  <si>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</si>
  <si>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</si>
  <si>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</si>
  <si>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</si>
  <si>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</si>
  <si>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</si>
  <si>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</si>
  <si>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</si>
  <si>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</si>
  <si>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</si>
  <si>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</si>
  <si>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</si>
  <si>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</si>
  <si>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</si>
  <si>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</si>
  <si>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</si>
  <si>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</si>
  <si>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</si>
  <si>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</si>
  <si>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</si>
  <si>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</si>
  <si>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</si>
  <si>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</si>
  <si>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</si>
  <si>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</si>
  <si>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</si>
  <si>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</si>
  <si>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</si>
  <si>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</si>
  <si>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</si>
  <si>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</si>
  <si>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</si>
  <si>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</si>
  <si>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</si>
  <si>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</si>
  <si>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</si>
  <si>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</si>
  <si>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</si>
  <si>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</si>
  <si>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</si>
  <si>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</si>
  <si>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</si>
  <si>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</si>
  <si>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</si>
  <si>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</si>
  <si>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</si>
  <si>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</si>
  <si>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</si>
  <si>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</si>
  <si>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</si>
  <si>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</si>
  <si>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</si>
  <si>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</si>
  <si>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</si>
  <si>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</si>
  <si>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</si>
  <si>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</si>
  <si>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</si>
  <si>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</si>
  <si>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</si>
  <si>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</si>
  <si>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</si>
  <si>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</si>
  <si>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</si>
  <si>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</si>
  <si>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</si>
  <si>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</si>
  <si>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</si>
  <si>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</si>
  <si>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</si>
  <si>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</si>
  <si>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</si>
  <si>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</si>
  <si>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</si>
  <si>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</si>
  <si>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</si>
  <si>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</si>
  <si>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</si>
  <si>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</si>
  <si>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</si>
  <si>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</si>
  <si>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</si>
  <si>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</si>
  <si>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</si>
  <si>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</si>
  <si>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</si>
  <si>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</si>
  <si>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</si>
  <si>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</si>
  <si>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</si>
  <si>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</si>
  <si>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</si>
  <si>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</si>
  <si>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</si>
  <si>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</si>
  <si>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</si>
  <si>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</si>
  <si>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</si>
  <si>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</si>
  <si>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</si>
  <si>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</si>
  <si>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</si>
  <si>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</si>
  <si>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</si>
  <si>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</si>
  <si>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</si>
  <si>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</si>
  <si>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</si>
  <si>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</si>
  <si>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</si>
  <si>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</si>
  <si>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</si>
  <si>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</si>
  <si>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</si>
  <si>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</si>
  <si>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</si>
  <si>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</si>
  <si>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</si>
  <si>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</si>
  <si>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</si>
  <si>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</si>
  <si>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</si>
  <si>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</si>
  <si>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</si>
  <si>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</si>
  <si>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</si>
  <si>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</si>
  <si>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</si>
  <si>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</si>
  <si>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</si>
  <si>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</si>
  <si>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</si>
  <si>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</si>
  <si>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</si>
  <si>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</si>
  <si>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</si>
  <si>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</si>
  <si>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</si>
  <si>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</si>
  <si>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</si>
  <si>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</si>
  <si>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</si>
  <si>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</si>
  <si>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</si>
  <si>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</si>
  <si>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</si>
  <si>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</si>
  <si>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</si>
  <si>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</si>
  <si>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</si>
  <si>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</si>
  <si>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</si>
  <si>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</si>
  <si>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</si>
  <si>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</si>
  <si>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</si>
  <si>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</si>
  <si>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</si>
  <si>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</si>
  <si>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</si>
  <si>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</si>
  <si>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</si>
  <si>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</si>
  <si>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</si>
  <si>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</si>
  <si>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</si>
  <si>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</si>
  <si>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</si>
  <si>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</si>
  <si>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</si>
  <si>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</si>
  <si>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</si>
  <si>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</si>
  <si>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</si>
  <si>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</si>
  <si>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</si>
  <si>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</si>
  <si>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</si>
  <si>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</si>
  <si>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</si>
  <si>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</si>
  <si>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</si>
  <si>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</si>
  <si>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</si>
  <si>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</si>
  <si>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</si>
  <si>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</si>
  <si>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</si>
  <si>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</si>
  <si>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</si>
  <si>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</si>
  <si>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</si>
  <si>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</si>
  <si>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</si>
  <si>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</si>
  <si>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</si>
  <si>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</si>
  <si>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</si>
  <si>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</si>
  <si>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</si>
  <si>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</si>
  <si>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</si>
  <si>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</si>
  <si>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</si>
  <si>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</si>
  <si>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</si>
  <si>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</si>
  <si>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</si>
  <si>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</si>
  <si>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</si>
  <si>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</si>
  <si>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</si>
  <si>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</si>
  <si>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</si>
  <si>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</si>
  <si>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</si>
  <si>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</si>
  <si>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</si>
  <si>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</si>
  <si>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</si>
  <si>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</si>
  <si>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</si>
  <si>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</si>
  <si>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</si>
  <si>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</si>
  <si>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</si>
  <si>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</si>
  <si>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</si>
  <si>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</si>
  <si>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</si>
  <si>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</si>
  <si>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</si>
  <si>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</si>
  <si>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</si>
  <si>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</si>
  <si>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</si>
  <si>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</si>
  <si>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</si>
  <si>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</si>
  <si>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</si>
  <si>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</si>
  <si>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</si>
  <si>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</si>
  <si>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</si>
  <si>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</si>
  <si>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</si>
  <si>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</si>
  <si>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</si>
  <si>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</si>
  <si>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</si>
  <si>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</si>
  <si>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</si>
  <si>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</si>
  <si>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</si>
  <si>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</si>
  <si>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</si>
  <si>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</si>
  <si>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</si>
  <si>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</si>
  <si>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</si>
  <si>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</si>
  <si>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</si>
  <si>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</si>
  <si>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</si>
  <si>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</si>
  <si>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</si>
  <si>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</si>
  <si>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</si>
  <si>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</si>
  <si>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</si>
  <si>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</si>
  <si>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</si>
  <si>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</si>
  <si>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</si>
  <si>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</si>
  <si>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</si>
  <si>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</si>
  <si>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</si>
  <si>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</si>
  <si>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</si>
  <si>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</si>
  <si>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</si>
  <si>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</si>
  <si>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</si>
  <si>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</si>
  <si>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</si>
  <si>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</si>
  <si>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</si>
  <si>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</si>
  <si>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</si>
  <si>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</si>
  <si>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</si>
  <si>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</si>
  <si>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</si>
  <si>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</si>
  <si>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</si>
  <si>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</si>
  <si>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</si>
  <si>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</si>
  <si>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</si>
  <si>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</si>
  <si>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</si>
  <si>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</si>
  <si>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</si>
  <si>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</si>
  <si>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</si>
  <si>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</si>
  <si>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</si>
  <si>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</si>
  <si>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</si>
  <si>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</si>
  <si>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</si>
  <si>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</si>
  <si>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</si>
  <si>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</si>
  <si>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</si>
  <si>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</si>
  <si>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</si>
  <si>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</si>
  <si>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</si>
  <si>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</si>
  <si>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</si>
  <si>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</si>
  <si>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</si>
  <si>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</si>
  <si>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</si>
  <si>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</si>
  <si>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</si>
  <si>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</si>
  <si>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</si>
  <si>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</si>
  <si>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</si>
  <si>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</si>
  <si>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</si>
  <si>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</si>
  <si>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</si>
  <si>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</si>
  <si>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</si>
  <si>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</si>
  <si>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</si>
  <si>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</si>
  <si>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</si>
  <si>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</si>
  <si>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</si>
  <si>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</si>
  <si>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</si>
  <si>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</si>
  <si>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</si>
  <si>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</si>
  <si>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</si>
  <si>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</si>
  <si>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</si>
  <si>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</si>
  <si>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</si>
  <si>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</si>
  <si>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</si>
  <si>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</si>
  <si>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</si>
  <si>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</si>
  <si>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</si>
  <si>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</si>
  <si>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</si>
  <si>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</si>
  <si>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</si>
  <si>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</si>
  <si>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</si>
  <si>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</si>
  <si>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</si>
  <si>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</si>
  <si>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</si>
  <si>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</si>
  <si>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</si>
  <si>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</si>
  <si>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</si>
  <si>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</si>
  <si>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</si>
  <si>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</si>
  <si>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</si>
  <si>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</si>
  <si>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</si>
  <si>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</si>
  <si>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</si>
  <si>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</si>
  <si>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</si>
  <si>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</si>
  <si>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</si>
  <si>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</si>
  <si>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</si>
  <si>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</si>
  <si>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</si>
  <si>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</si>
  <si>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</si>
  <si>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</si>
  <si>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</si>
  <si>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</si>
  <si>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</si>
  <si>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</si>
  <si>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</si>
  <si>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</si>
  <si>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</si>
  <si>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</si>
  <si>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</si>
  <si>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</si>
  <si>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</si>
  <si>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</si>
  <si>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</si>
  <si>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</si>
  <si>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</si>
  <si>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</si>
  <si>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</si>
  <si>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</si>
  <si>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</si>
  <si>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</si>
  <si>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</si>
  <si>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</si>
  <si>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</si>
  <si>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</si>
  <si>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</si>
  <si>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</si>
  <si>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</si>
  <si>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</si>
  <si>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</si>
  <si>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</si>
  <si>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</si>
  <si>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</si>
  <si>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</si>
  <si>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</si>
  <si>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</si>
  <si>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</si>
  <si>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</si>
  <si>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</si>
  <si>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</si>
  <si>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</si>
  <si>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</si>
  <si>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</si>
  <si>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</si>
  <si>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</si>
  <si>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</si>
  <si>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</si>
  <si>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</si>
  <si>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</si>
  <si>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</si>
  <si>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</si>
  <si>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</si>
  <si>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</si>
  <si>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</si>
  <si>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</si>
  <si>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</si>
  <si>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</si>
  <si>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</si>
  <si>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</si>
  <si>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</si>
  <si>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</si>
  <si>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</si>
  <si>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</si>
  <si>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</si>
  <si>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</si>
  <si>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</si>
  <si>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</si>
  <si>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</si>
  <si>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</si>
  <si>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</si>
  <si>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</si>
  <si>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</si>
  <si>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</si>
  <si>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</si>
  <si>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</si>
  <si>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</si>
  <si>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</si>
  <si>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</si>
  <si>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</si>
  <si>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</si>
  <si>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</si>
  <si>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</si>
  <si>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</si>
  <si>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</si>
  <si>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</si>
  <si>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</si>
  <si>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</si>
  <si>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</si>
  <si>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</si>
  <si>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</si>
  <si>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</si>
  <si>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</si>
  <si>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</si>
  <si>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</si>
  <si>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</si>
  <si>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</si>
  <si>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</si>
  <si>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</si>
  <si>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</si>
  <si>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</si>
  <si>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</si>
  <si>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</si>
  <si>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</si>
  <si>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</si>
  <si>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</si>
  <si>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</si>
  <si>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</si>
  <si>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</si>
  <si>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</si>
  <si>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</si>
  <si>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</si>
  <si>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</si>
  <si>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</si>
  <si>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</si>
  <si>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</si>
  <si>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</si>
  <si>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</si>
  <si>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</si>
  <si>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</si>
  <si>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</si>
  <si>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</si>
  <si>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</si>
  <si>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</si>
  <si>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</si>
  <si>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</si>
  <si>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</si>
  <si>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</si>
  <si>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</si>
  <si>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</si>
  <si>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</si>
  <si>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</si>
  <si>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</si>
  <si>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</si>
  <si>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</si>
  <si>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</si>
  <si>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</si>
  <si>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</si>
  <si>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</si>
  <si>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</si>
  <si>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</si>
  <si>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</si>
  <si>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</si>
  <si>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</si>
  <si>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</si>
  <si>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</si>
  <si>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</si>
  <si>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</si>
  <si>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</si>
  <si>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</si>
  <si>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</si>
  <si>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</si>
  <si>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</si>
  <si>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</si>
  <si>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</si>
  <si>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</si>
  <si>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</si>
  <si>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</si>
  <si>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</si>
  <si>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</si>
  <si>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</si>
  <si>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</si>
  <si>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</si>
  <si>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</si>
  <si>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</si>
  <si>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</si>
  <si>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</si>
  <si>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</si>
  <si>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</si>
  <si>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</si>
  <si>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</si>
  <si>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</si>
  <si>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</si>
  <si>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</si>
  <si>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</si>
  <si>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</si>
  <si>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</si>
  <si>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</si>
  <si>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</si>
  <si>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</si>
  <si>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</si>
  <si>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</si>
  <si>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</si>
  <si>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</si>
  <si>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</si>
  <si>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</si>
  <si>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</si>
  <si>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</si>
  <si>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</si>
  <si>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</si>
  <si>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</si>
  <si>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</si>
  <si>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</si>
  <si>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</si>
  <si>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</si>
  <si>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</si>
  <si>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</si>
  <si>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</si>
  <si>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</si>
  <si>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</si>
  <si>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</si>
  <si>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</si>
  <si>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</si>
  <si>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</si>
  <si>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</si>
  <si>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</si>
  <si>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</si>
  <si>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</si>
  <si>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</si>
  <si>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</si>
  <si>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</si>
  <si>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</si>
  <si>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</si>
  <si>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</si>
  <si>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</si>
  <si>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</si>
  <si>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</si>
  <si>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</si>
  <si>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</si>
  <si>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</si>
  <si>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</si>
  <si>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</si>
  <si>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</si>
  <si>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</si>
  <si>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</si>
  <si>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</si>
  <si>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</si>
  <si>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</si>
  <si>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</si>
  <si>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</si>
  <si>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</si>
  <si>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</si>
  <si>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</si>
  <si>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</si>
  <si>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</si>
  <si>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</si>
  <si>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</si>
  <si>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</si>
  <si>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</si>
  <si>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</si>
  <si>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</si>
  <si>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</si>
  <si>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</si>
  <si>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</si>
  <si>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</si>
  <si>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</si>
  <si>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</si>
  <si>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</si>
  <si>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</si>
  <si>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</si>
  <si>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</si>
  <si>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</si>
  <si>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</si>
  <si>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</si>
  <si>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</si>
  <si>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</si>
  <si>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</si>
  <si>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</si>
  <si>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</si>
  <si>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</si>
  <si>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</si>
  <si>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</si>
  <si>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</si>
  <si>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</si>
  <si>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</si>
  <si>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</si>
  <si>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</si>
  <si>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</si>
  <si>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</si>
  <si>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</si>
  <si>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</si>
  <si>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</si>
  <si>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</si>
  <si>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</si>
  <si>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</si>
  <si>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</si>
  <si>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</si>
  <si>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</si>
  <si>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</si>
  <si>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</si>
  <si>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</si>
  <si>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</si>
  <si>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</si>
  <si>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</si>
  <si>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</si>
  <si>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</si>
  <si>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</si>
  <si>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</si>
  <si>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</si>
  <si>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</si>
  <si>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</si>
  <si>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</si>
  <si>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</si>
  <si>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</si>
  <si>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</si>
  <si>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</si>
  <si>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</si>
  <si>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</si>
  <si>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</si>
  <si>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</si>
  <si>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</si>
  <si>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</si>
  <si>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</si>
  <si>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</si>
  <si>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</si>
  <si>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</si>
  <si>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</si>
  <si>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</si>
  <si>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</si>
  <si>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</si>
  <si>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</si>
  <si>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</si>
  <si>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</si>
  <si>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</si>
  <si>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</si>
  <si>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</si>
  <si>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</si>
  <si>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</si>
  <si>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</si>
  <si>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</si>
  <si>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</si>
  <si>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</si>
  <si>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</si>
  <si>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</si>
  <si>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</si>
  <si>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</si>
  <si>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</si>
  <si>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</si>
  <si>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</si>
  <si>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</si>
  <si>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</si>
  <si>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</si>
  <si>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</si>
  <si>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</si>
  <si>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</si>
  <si>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</si>
  <si>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</si>
  <si>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</si>
  <si>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</si>
  <si>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</si>
  <si>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</si>
  <si>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</si>
  <si>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</si>
  <si>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</si>
  <si>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</si>
  <si>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</si>
  <si>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</si>
  <si>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</si>
  <si>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</si>
  <si>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</si>
  <si>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</si>
  <si>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</si>
  <si>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</si>
  <si>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</si>
  <si>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</si>
  <si>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</si>
  <si>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</si>
  <si>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</si>
  <si>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</si>
  <si>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</si>
  <si>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</si>
  <si>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</si>
  <si>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</si>
  <si>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</si>
  <si>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</si>
  <si>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</si>
  <si>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</si>
  <si>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</si>
  <si>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</si>
  <si>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</si>
  <si>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</si>
  <si>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</si>
  <si>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</si>
  <si>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</si>
  <si>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</si>
  <si>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</si>
  <si>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</si>
  <si>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</si>
  <si>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</si>
  <si>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</si>
  <si>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</si>
  <si>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</si>
  <si>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</si>
  <si>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</si>
  <si>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</si>
  <si>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</si>
  <si>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</si>
  <si>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</si>
  <si>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</si>
  <si>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</si>
  <si>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</si>
  <si>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</si>
  <si>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</si>
  <si>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</si>
  <si>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</si>
  <si>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</si>
  <si>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</si>
  <si>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</si>
  <si>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</si>
  <si>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</si>
  <si>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</si>
  <si>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</si>
  <si>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</si>
  <si>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</si>
  <si>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</si>
  <si>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</si>
  <si>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</si>
  <si>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</si>
  <si>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</si>
  <si>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</si>
  <si>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</si>
  <si>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</si>
  <si>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</si>
  <si>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</si>
  <si>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</si>
  <si>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</si>
  <si>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</si>
  <si>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</si>
  <si>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</si>
  <si>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</si>
  <si>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</si>
  <si>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</si>
  <si>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</si>
  <si>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</si>
  <si>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</si>
  <si>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</si>
  <si>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</si>
  <si>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</si>
  <si>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</si>
  <si>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</si>
  <si>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</si>
  <si>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</si>
  <si>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</si>
  <si>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</si>
  <si>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</si>
  <si>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</si>
  <si>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</si>
  <si>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</si>
  <si>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</si>
  <si>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</si>
  <si>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</si>
  <si>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</si>
  <si>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</si>
  <si>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</si>
  <si>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</si>
  <si>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</si>
  <si>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</si>
  <si>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</si>
  <si>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</si>
  <si>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</si>
  <si>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</si>
  <si>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</si>
  <si>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</si>
  <si>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</si>
  <si>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</si>
  <si>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</si>
  <si>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</si>
  <si>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</si>
  <si>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</si>
  <si>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</si>
  <si>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</si>
  <si>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</si>
  <si>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</si>
  <si>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</si>
  <si>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</si>
  <si>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</si>
  <si>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</si>
  <si>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</si>
  <si>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</si>
  <si>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</si>
  <si>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</si>
  <si>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</si>
  <si>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</si>
  <si>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</si>
  <si>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</si>
  <si>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</si>
  <si>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</si>
  <si>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</si>
  <si>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</si>
  <si>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</si>
  <si>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</si>
  <si>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</si>
  <si>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</si>
  <si>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</si>
  <si>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</si>
  <si>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</si>
  <si>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</si>
  <si>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</si>
  <si>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</si>
  <si>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</si>
  <si>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</si>
  <si>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</si>
  <si>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</si>
  <si>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</si>
  <si>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</si>
  <si>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</si>
  <si>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</si>
  <si>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</si>
  <si>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</si>
  <si>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</si>
  <si>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</si>
  <si>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</si>
  <si>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</si>
  <si>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</si>
  <si>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</si>
  <si>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</si>
  <si>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</si>
  <si>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</si>
  <si>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</si>
  <si>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</si>
  <si>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</si>
  <si>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</si>
  <si>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</si>
  <si>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</si>
  <si>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</si>
  <si>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</si>
  <si>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</si>
  <si>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</si>
  <si>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</si>
  <si>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</si>
  <si>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</si>
  <si>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</si>
  <si>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</si>
  <si>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</si>
  <si>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</si>
  <si>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</si>
  <si>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</si>
  <si>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</si>
  <si>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</si>
  <si>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</si>
  <si>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</si>
  <si>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</si>
  <si>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</si>
  <si>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</si>
  <si>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</si>
  <si>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</si>
  <si>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</si>
  <si>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</si>
  <si>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</si>
  <si>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</si>
  <si>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</si>
  <si>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</si>
  <si>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</si>
  <si>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</si>
  <si>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</si>
  <si>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</si>
  <si>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</si>
  <si>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</si>
  <si>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</si>
  <si>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</si>
  <si>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</si>
  <si>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</si>
  <si>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</si>
  <si>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</si>
  <si>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</si>
  <si>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</si>
  <si>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</si>
  <si>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</si>
  <si>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</si>
  <si>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</si>
  <si>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</si>
  <si>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</si>
  <si>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</si>
  <si>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</si>
  <si>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</si>
  <si>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</si>
  <si>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</si>
  <si>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</si>
  <si>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</si>
  <si>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</si>
  <si>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</si>
  <si>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</si>
  <si>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</si>
  <si>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</si>
  <si>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</si>
  <si>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</si>
  <si>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</si>
  <si>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</si>
  <si>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</si>
  <si>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</si>
  <si>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</si>
  <si>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</si>
  <si>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</si>
  <si>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</si>
  <si>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</si>
  <si>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</si>
  <si>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</si>
  <si>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</si>
  <si>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</si>
  <si>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</si>
  <si>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</si>
  <si>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</si>
  <si>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</si>
  <si>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</si>
  <si>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</si>
  <si>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</si>
  <si>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</si>
  <si>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</si>
  <si>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</si>
  <si>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</si>
  <si>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</si>
  <si>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</si>
  <si>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</si>
  <si>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</si>
  <si>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</si>
  <si>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</si>
  <si>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</si>
  <si>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</si>
  <si>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</si>
  <si>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</si>
  <si>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</si>
  <si>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</si>
  <si>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</si>
  <si>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</si>
  <si>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</si>
  <si>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</si>
  <si>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</si>
  <si>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</si>
  <si>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</si>
  <si>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</si>
  <si>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</si>
  <si>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</si>
  <si>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</si>
  <si>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</si>
  <si>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</si>
  <si>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</si>
  <si>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</si>
  <si>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</si>
  <si>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</si>
  <si>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</si>
  <si>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</si>
  <si>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</si>
  <si>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</si>
  <si>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</si>
  <si>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</si>
  <si>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</si>
  <si>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</si>
  <si>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</si>
  <si>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</si>
  <si>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</si>
  <si>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</si>
  <si>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</si>
  <si>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</si>
  <si>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</si>
  <si>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</si>
  <si>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</si>
  <si>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</si>
  <si>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</si>
  <si>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</si>
  <si>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</si>
  <si>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</si>
  <si>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</si>
  <si>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</si>
  <si>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</si>
  <si>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</si>
  <si>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</si>
  <si>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</si>
  <si>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</si>
  <si>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</si>
  <si>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</si>
  <si>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</si>
  <si>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</si>
  <si>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</si>
  <si>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</si>
  <si>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</si>
  <si>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</si>
  <si>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</si>
  <si>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</si>
  <si>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</si>
  <si>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</si>
  <si>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</si>
  <si>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</si>
  <si>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</si>
  <si>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</si>
  <si>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</si>
  <si>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</si>
  <si>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</si>
  <si>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</si>
  <si>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</si>
  <si>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</si>
  <si>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</si>
  <si>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</si>
  <si>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</si>
  <si>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</si>
  <si>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</si>
  <si>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</si>
  <si>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</si>
  <si>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</si>
  <si>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</si>
  <si>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</si>
  <si>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</si>
  <si>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</si>
  <si>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</si>
  <si>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</si>
  <si>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</si>
  <si>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</si>
  <si>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</si>
  <si>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</si>
  <si>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</si>
  <si>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</si>
  <si>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</si>
  <si>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</si>
  <si>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</si>
  <si>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</si>
  <si>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</si>
  <si>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</si>
  <si>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</si>
  <si>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</si>
  <si>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</si>
  <si>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</si>
  <si>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</si>
  <si>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</si>
  <si>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</si>
  <si>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</si>
  <si>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</si>
  <si>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</si>
  <si>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</si>
  <si>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</si>
  <si>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</si>
  <si>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</si>
  <si>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</si>
  <si>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</si>
  <si>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</si>
  <si>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</si>
  <si>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</si>
  <si>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</si>
  <si>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</si>
  <si>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</si>
  <si>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</si>
  <si>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</si>
  <si>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</si>
  <si>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</si>
  <si>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</si>
  <si>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</si>
  <si>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</si>
  <si>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</si>
  <si>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</si>
  <si>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</si>
  <si>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</si>
  <si>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</si>
  <si>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</si>
  <si>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</si>
  <si>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</si>
  <si>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</si>
  <si>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</si>
  <si>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</si>
  <si>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</si>
  <si>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</si>
  <si>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</si>
  <si>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</si>
  <si>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</si>
  <si>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</si>
  <si>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</si>
  <si>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</si>
  <si>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</si>
  <si>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</si>
  <si>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</si>
  <si>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</si>
  <si>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</si>
  <si>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</si>
  <si>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</si>
  <si>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</si>
  <si>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</si>
  <si>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</si>
  <si>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</si>
  <si>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</si>
  <si>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</si>
  <si>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</si>
  <si>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</si>
  <si>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</si>
  <si>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</si>
  <si>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</si>
  <si>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</si>
  <si>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</si>
  <si>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</si>
  <si>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</si>
  <si>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</si>
  <si>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</si>
  <si>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</si>
  <si>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</si>
  <si>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</si>
  <si>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</si>
  <si>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</si>
  <si>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</si>
  <si>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</si>
  <si>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</si>
  <si>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</si>
  <si>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</si>
  <si>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</si>
  <si>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</si>
  <si>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</si>
  <si>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</si>
  <si>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</si>
  <si>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</si>
  <si>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</si>
  <si>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</si>
  <si>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</si>
  <si>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</si>
  <si>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</si>
  <si>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</si>
  <si>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</si>
  <si>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</si>
  <si>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</si>
  <si>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</si>
  <si>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</si>
  <si>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</si>
  <si>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</si>
  <si>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</si>
  <si>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</si>
  <si>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</si>
  <si>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</si>
  <si>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</si>
  <si>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</si>
  <si>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</si>
  <si>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</si>
  <si>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</si>
  <si>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</si>
  <si>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</si>
  <si>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</si>
  <si>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</si>
  <si>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</si>
  <si>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</si>
  <si>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</si>
  <si>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</si>
  <si>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</si>
  <si>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</si>
  <si>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</si>
  <si>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</si>
  <si>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</si>
  <si>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</si>
  <si>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</si>
  <si>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</si>
  <si>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</si>
  <si>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</si>
  <si>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</si>
  <si>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</si>
  <si>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</si>
  <si>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</si>
  <si>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</si>
  <si>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</si>
  <si>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</si>
  <si>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</si>
  <si>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</si>
  <si>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</si>
  <si>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</si>
  <si>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</si>
  <si>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</si>
  <si>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</si>
  <si>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</si>
  <si>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</si>
  <si>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</si>
  <si>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</si>
  <si>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</si>
  <si>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</si>
  <si>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</si>
  <si>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</si>
  <si>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</si>
  <si>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</si>
  <si>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</si>
  <si>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</si>
  <si>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</si>
  <si>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</si>
  <si>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</si>
  <si>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</si>
  <si>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</si>
  <si>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</si>
  <si>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</si>
  <si>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</si>
  <si>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</si>
  <si>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</si>
  <si>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</si>
  <si>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</si>
  <si>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</si>
  <si>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</si>
  <si>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</si>
  <si>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</si>
  <si>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</si>
  <si>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</si>
  <si>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</si>
  <si>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</si>
  <si>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</si>
  <si>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</si>
  <si>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</si>
  <si>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</si>
  <si>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</si>
  <si>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</si>
  <si>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</si>
  <si>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</si>
  <si>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</si>
  <si>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</si>
  <si>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</si>
  <si>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</si>
  <si>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</si>
  <si>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</si>
  <si>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</si>
  <si>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</si>
  <si>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</si>
  <si>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</si>
  <si>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</si>
  <si>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</si>
  <si>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</si>
  <si>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</si>
  <si>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</si>
  <si>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</si>
  <si>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</si>
  <si>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</si>
  <si>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</si>
  <si>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</si>
  <si>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</si>
  <si>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</si>
  <si>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</si>
  <si>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</si>
  <si>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</si>
  <si>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</si>
  <si>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</si>
  <si>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</si>
  <si>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</si>
  <si>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</si>
  <si>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</si>
  <si>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</si>
  <si>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</si>
  <si>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</si>
  <si>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</si>
  <si>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</si>
  <si>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</si>
  <si>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</si>
  <si>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</si>
  <si>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</si>
  <si>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</si>
  <si>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</si>
  <si>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</si>
  <si>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</si>
  <si>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</si>
  <si>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</si>
  <si>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</si>
  <si>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</si>
  <si>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</si>
  <si>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</si>
  <si>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</si>
  <si>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</si>
  <si>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</si>
  <si>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</si>
  <si>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</si>
  <si>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</si>
  <si>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</si>
  <si>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</si>
  <si>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</si>
  <si>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</si>
  <si>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</si>
  <si>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</si>
  <si>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</si>
  <si>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</si>
  <si>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</si>
  <si>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</si>
  <si>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</si>
  <si>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</si>
  <si>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</si>
  <si>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</si>
  <si>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</si>
  <si>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</si>
  <si>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</si>
  <si>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</si>
  <si>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</si>
  <si>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</si>
  <si>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</si>
  <si>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</si>
  <si>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</si>
  <si>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</si>
  <si>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</si>
  <si>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</si>
  <si>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</si>
  <si>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</si>
  <si>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</si>
  <si>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</si>
  <si>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</si>
  <si>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</si>
  <si>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</si>
  <si>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</si>
  <si>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</si>
  <si>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</si>
  <si>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</si>
  <si>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</si>
  <si>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</si>
  <si>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</si>
  <si>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</si>
  <si>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</si>
  <si>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</si>
  <si>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</si>
  <si>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</si>
  <si>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</si>
  <si>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</si>
  <si>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</si>
  <si>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</si>
  <si>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</si>
  <si>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</si>
  <si>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</si>
  <si>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</si>
  <si>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</si>
  <si>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</si>
  <si>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</si>
  <si>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</si>
  <si>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</si>
  <si>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</si>
  <si>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</si>
  <si>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</si>
  <si>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</si>
  <si>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</si>
  <si>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</si>
  <si>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</si>
  <si>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</si>
  <si>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</si>
  <si>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</si>
  <si>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</si>
  <si>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</si>
  <si>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</si>
  <si>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</si>
  <si>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</si>
  <si>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</si>
  <si>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</si>
  <si>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</si>
  <si>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</si>
  <si>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</si>
  <si>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</si>
  <si>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</si>
  <si>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</si>
  <si>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</si>
  <si>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</si>
  <si>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</si>
  <si>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</si>
  <si>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</si>
  <si>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</si>
  <si>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</si>
  <si>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</si>
  <si>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</si>
  <si>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</si>
  <si>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</si>
  <si>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</si>
  <si>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</si>
  <si>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</si>
  <si>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</si>
  <si>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</si>
  <si>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</si>
  <si>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</si>
  <si>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</si>
  <si>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</si>
  <si>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</si>
  <si>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</si>
  <si>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</si>
  <si>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</si>
  <si>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</si>
  <si>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</si>
  <si>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</si>
  <si>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</si>
  <si>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</si>
  <si>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</si>
  <si>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</si>
  <si>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</si>
  <si>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</si>
  <si>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</si>
  <si>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</si>
  <si>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</si>
  <si>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</si>
  <si>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</si>
  <si>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</si>
  <si>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</si>
  <si>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</si>
  <si>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</si>
  <si>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</si>
  <si>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</si>
  <si>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</si>
  <si>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</si>
  <si>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</si>
  <si>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</si>
  <si>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</si>
  <si>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</si>
  <si>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</si>
  <si>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</si>
  <si>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</si>
  <si>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</si>
  <si>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</si>
  <si>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</si>
  <si>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</si>
  <si>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</si>
  <si>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</si>
  <si>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</si>
  <si>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</si>
  <si>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</si>
  <si>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</si>
  <si>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</si>
  <si>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</si>
  <si>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</si>
  <si>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</si>
  <si>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</si>
  <si>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</si>
  <si>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</si>
  <si>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</si>
  <si>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</si>
  <si>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</si>
  <si>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</si>
  <si>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</si>
  <si>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</si>
  <si>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</si>
  <si>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</si>
  <si>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</si>
  <si>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</si>
  <si>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</si>
  <si>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</si>
  <si>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</si>
  <si>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</si>
  <si>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</si>
  <si>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</si>
  <si>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</si>
  <si>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</si>
  <si>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</si>
  <si>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</si>
  <si>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</si>
  <si>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</si>
  <si>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</si>
  <si>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</si>
  <si>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</si>
  <si>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</si>
  <si>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</si>
  <si>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</si>
  <si>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</si>
  <si>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</si>
  <si>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</si>
  <si>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</si>
  <si>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</si>
  <si>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</si>
  <si>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</si>
  <si>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</si>
  <si>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</si>
  <si>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</si>
  <si>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</si>
  <si>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</si>
  <si>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</si>
  <si>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</si>
  <si>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</si>
  <si>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</si>
  <si>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</si>
  <si>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</si>
  <si>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</si>
  <si>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</si>
  <si>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</si>
  <si>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</si>
  <si>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</si>
  <si>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</si>
  <si>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</si>
  <si>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</si>
  <si>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</si>
  <si>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</si>
  <si>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</si>
  <si>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</si>
  <si>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</si>
  <si>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</si>
  <si>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</si>
  <si>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</si>
  <si>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</si>
  <si>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</si>
  <si>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</si>
  <si>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</si>
  <si>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</si>
  <si>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</si>
  <si>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</si>
  <si>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</si>
  <si>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</si>
  <si>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</si>
  <si>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</si>
  <si>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</si>
  <si>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</si>
  <si>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</si>
  <si>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</si>
  <si>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</si>
  <si>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</si>
  <si>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</si>
  <si>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</si>
  <si>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</si>
  <si>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</si>
  <si>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</si>
  <si>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</si>
  <si>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</si>
  <si>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</si>
  <si>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</si>
  <si>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</si>
  <si>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</si>
  <si>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</si>
  <si>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</si>
  <si>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</si>
  <si>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</si>
  <si>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</si>
  <si>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</si>
  <si>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</si>
  <si>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</si>
  <si>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</si>
  <si>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</si>
  <si>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</si>
  <si>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</si>
  <si>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</si>
  <si>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</si>
  <si>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</si>
  <si>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</si>
  <si>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</si>
  <si>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</si>
  <si>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</si>
  <si>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</si>
  <si>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</si>
  <si>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</si>
  <si>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</si>
  <si>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</si>
  <si>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</si>
  <si>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</si>
  <si>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</si>
  <si>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</si>
  <si>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</si>
  <si>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</si>
  <si>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</si>
  <si>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</si>
  <si>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</si>
  <si>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</si>
  <si>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</si>
  <si>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</si>
  <si>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</si>
  <si>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</si>
  <si>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</si>
  <si>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</si>
  <si>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</si>
  <si>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</si>
  <si>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</si>
  <si>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</si>
  <si>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</si>
  <si>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</si>
  <si>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</si>
  <si>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</si>
  <si>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</si>
  <si>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</si>
  <si>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</si>
  <si>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</si>
  <si>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</si>
  <si>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</si>
  <si>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</si>
  <si>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</si>
  <si>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</si>
  <si>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</si>
  <si>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</si>
  <si>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</si>
  <si>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</si>
  <si>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</si>
  <si>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</si>
  <si>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</si>
  <si>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</si>
  <si>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</si>
  <si>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</si>
  <si>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</si>
  <si>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</si>
  <si>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</si>
  <si>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</si>
  <si>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</si>
  <si>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</si>
  <si>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</si>
  <si>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</si>
  <si>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</si>
  <si>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</si>
  <si>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</si>
  <si>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</si>
  <si>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</si>
  <si>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</si>
  <si>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</si>
  <si>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</si>
  <si>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</si>
  <si>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</si>
  <si>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</si>
  <si>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</si>
  <si>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</si>
  <si>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</si>
  <si>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</si>
  <si>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</si>
  <si>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</si>
  <si>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</si>
  <si>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</si>
  <si>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</si>
  <si>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</si>
  <si>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</si>
  <si>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</si>
  <si>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</si>
  <si>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</si>
  <si>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</si>
  <si>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</si>
  <si>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</si>
  <si>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</si>
  <si>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</si>
  <si>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</si>
  <si>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</si>
  <si>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</si>
  <si>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</si>
  <si>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</si>
  <si>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</si>
  <si>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</si>
  <si>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</si>
  <si>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</si>
  <si>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</si>
  <si>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</si>
  <si>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</si>
  <si>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</si>
  <si>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</si>
  <si>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</si>
  <si>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</si>
  <si>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</si>
  <si>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</si>
  <si>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</si>
  <si>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</si>
  <si>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</si>
  <si>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</si>
  <si>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</si>
  <si>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</si>
  <si>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</si>
  <si>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</si>
  <si>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</si>
  <si>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</si>
  <si>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</si>
  <si>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</si>
  <si>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</si>
  <si>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</si>
  <si>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</si>
  <si>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</si>
  <si>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</si>
  <si>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</si>
  <si>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</si>
  <si>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</si>
  <si>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</si>
  <si>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</si>
  <si>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</si>
  <si>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</si>
  <si>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</si>
  <si>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</si>
  <si>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</si>
  <si>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</si>
  <si>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</si>
  <si>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</si>
  <si>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</si>
  <si>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</si>
  <si>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</si>
  <si>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</si>
  <si>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</si>
  <si>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</si>
  <si>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</si>
  <si>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</si>
  <si>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</si>
  <si>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</si>
  <si>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</si>
  <si>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</si>
  <si>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</si>
  <si>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</si>
  <si>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</si>
  <si>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</si>
  <si>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</si>
  <si>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</si>
  <si>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</si>
  <si>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</si>
  <si>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</si>
  <si>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</si>
  <si>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</si>
  <si>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</si>
  <si>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</si>
  <si>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</si>
  <si>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</si>
  <si>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</si>
  <si>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</si>
  <si>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</si>
  <si>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</si>
  <si>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</si>
  <si>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</si>
  <si>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</si>
  <si>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</si>
  <si>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</si>
  <si>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</si>
  <si>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</si>
  <si>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</si>
  <si>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</si>
  <si>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</si>
  <si>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</si>
  <si>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</si>
  <si>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</si>
  <si>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</si>
  <si>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</si>
  <si>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</si>
  <si>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</si>
  <si>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</si>
  <si>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</si>
  <si>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</si>
  <si>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</si>
  <si>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</si>
  <si>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</si>
  <si>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</si>
  <si>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</si>
  <si>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</si>
  <si>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</si>
  <si>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</si>
  <si>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</si>
  <si>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</si>
  <si>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</si>
  <si>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</si>
  <si>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</si>
  <si>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</si>
  <si>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</si>
  <si>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</si>
  <si>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</si>
  <si>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</si>
  <si>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</si>
  <si>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</si>
  <si>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</si>
  <si>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</si>
  <si>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</si>
  <si>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</si>
  <si>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</si>
  <si>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</si>
  <si>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</si>
  <si>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</si>
  <si>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</si>
  <si>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</si>
  <si>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</si>
  <si>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</si>
  <si>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</si>
  <si>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</si>
  <si>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</si>
  <si>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</si>
  <si>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</si>
  <si>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</si>
  <si>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</si>
  <si>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</si>
  <si>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</si>
  <si>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</si>
  <si>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</si>
  <si>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</si>
  <si>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</si>
  <si>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</si>
  <si>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</si>
  <si>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</si>
  <si>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</si>
  <si>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</si>
  <si>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</si>
  <si>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</si>
  <si>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</si>
  <si>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</si>
  <si>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</si>
  <si>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</si>
  <si>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</si>
  <si>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</si>
  <si>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</si>
  <si>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</si>
  <si>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</si>
  <si>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</si>
  <si>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</si>
  <si>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</si>
  <si>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</si>
  <si>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</si>
  <si>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</si>
  <si>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</si>
  <si>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</si>
  <si>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</si>
  <si>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</si>
  <si>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</si>
  <si>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</si>
  <si>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</si>
  <si>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</si>
  <si>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</si>
  <si>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</si>
  <si>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</si>
  <si>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</si>
  <si>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</si>
  <si>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</si>
  <si>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</si>
  <si>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</si>
  <si>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</si>
  <si>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</si>
  <si>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</si>
  <si>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</si>
  <si>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</si>
  <si>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</si>
  <si>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</si>
  <si>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</si>
  <si>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</si>
  <si>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</si>
  <si>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</si>
  <si>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</si>
  <si>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</si>
  <si>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</si>
  <si>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</si>
  <si>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</si>
  <si>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</si>
  <si>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</si>
  <si>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</si>
  <si>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</si>
  <si>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</si>
  <si>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</si>
  <si>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</si>
  <si>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</si>
  <si>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</si>
  <si>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</si>
  <si>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</si>
  <si>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</si>
  <si>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</si>
  <si>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</si>
  <si>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</si>
  <si>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</si>
  <si>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</si>
  <si>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</si>
  <si>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</si>
  <si>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</si>
  <si>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</si>
  <si>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</si>
  <si>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</si>
  <si>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</si>
  <si>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</si>
  <si>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</si>
  <si>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</si>
  <si>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</si>
  <si>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</si>
  <si>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</si>
  <si>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</si>
  <si>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</si>
  <si>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</si>
  <si>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</si>
  <si>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</si>
  <si>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</si>
  <si>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</si>
  <si>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</si>
  <si>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</si>
  <si>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</si>
  <si>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</si>
  <si>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</si>
  <si>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</si>
  <si>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</si>
  <si>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</si>
  <si>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</si>
  <si>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</si>
  <si>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</si>
  <si>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</si>
  <si>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</si>
  <si>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</si>
  <si>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</si>
  <si>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</si>
  <si>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</si>
  <si>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</si>
  <si>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</si>
  <si>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</si>
  <si>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</si>
  <si>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</si>
  <si>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</si>
  <si>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</si>
  <si>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</si>
  <si>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</si>
  <si>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</si>
  <si>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</si>
  <si>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</si>
  <si>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</si>
  <si>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</si>
  <si>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</si>
  <si>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</si>
  <si>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</si>
  <si>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</si>
  <si>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</si>
  <si>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</si>
  <si>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</si>
  <si>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</si>
  <si>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</si>
  <si>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</si>
  <si>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</si>
  <si>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</si>
  <si>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</si>
  <si>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</si>
  <si>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</si>
  <si>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</si>
  <si>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</si>
  <si>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</si>
  <si>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</si>
  <si>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</si>
  <si>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</si>
  <si>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</si>
  <si>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</si>
  <si>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</si>
  <si>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</si>
  <si>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</si>
  <si>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</si>
  <si>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</si>
  <si>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</si>
  <si>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</si>
  <si>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</si>
  <si>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</si>
  <si>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</si>
  <si>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</si>
  <si>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</si>
  <si>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</si>
  <si>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</si>
  <si>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</si>
  <si>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</si>
  <si>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</si>
  <si>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</si>
  <si>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</si>
  <si>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</si>
  <si>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</si>
  <si>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</si>
  <si>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</si>
  <si>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</si>
  <si>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</si>
  <si>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</si>
  <si>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</si>
  <si>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</si>
  <si>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</si>
  <si>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</si>
  <si>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</si>
  <si>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</si>
  <si>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</si>
  <si>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</si>
  <si>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</si>
  <si>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</si>
  <si>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</si>
  <si>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</si>
  <si>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</si>
  <si>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</si>
  <si>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</si>
  <si>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</si>
  <si>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</si>
  <si>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</si>
  <si>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</si>
  <si>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</si>
  <si>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</si>
  <si>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</si>
  <si>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</si>
  <si>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</si>
  <si>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</si>
  <si>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</si>
  <si>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</si>
  <si>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</si>
  <si>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</si>
  <si>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</si>
  <si>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</si>
  <si>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</si>
  <si>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</si>
  <si>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</si>
  <si>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</si>
  <si>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</si>
  <si>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</si>
  <si>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</si>
  <si>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</si>
  <si>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</si>
  <si>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</si>
  <si>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</si>
  <si>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</si>
  <si>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</si>
  <si>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</si>
  <si>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</si>
  <si>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</si>
  <si>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</si>
  <si>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</si>
  <si>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</si>
  <si>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</si>
  <si>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</si>
  <si>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</si>
  <si>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</si>
  <si>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</si>
  <si>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</si>
  <si>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</si>
  <si>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</si>
  <si>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</si>
  <si>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</si>
  <si>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</si>
  <si>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</si>
  <si>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</si>
  <si>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</si>
  <si>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</si>
  <si>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</si>
  <si>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</si>
  <si>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</si>
  <si>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</si>
  <si>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</si>
  <si>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</si>
  <si>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</si>
  <si>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</si>
  <si>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</si>
  <si>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</si>
  <si>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</si>
  <si>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</si>
  <si>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</si>
  <si>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</si>
  <si>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</si>
  <si>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</si>
  <si>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</si>
  <si>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</si>
  <si>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</si>
  <si>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</si>
  <si>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</si>
  <si>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</si>
  <si>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</si>
  <si>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</si>
  <si>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</si>
  <si>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</si>
  <si>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</si>
  <si>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</si>
  <si>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</si>
  <si>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</si>
  <si>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</si>
  <si>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</si>
  <si>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</si>
  <si>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</si>
  <si>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</si>
  <si>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</si>
  <si>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</si>
  <si>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</si>
  <si>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</si>
  <si>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</si>
  <si>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</si>
  <si>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</si>
  <si>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</si>
  <si>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</si>
  <si>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</si>
  <si>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</si>
  <si>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</si>
  <si>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</si>
  <si>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</si>
  <si>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</si>
  <si>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</si>
  <si>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</si>
  <si>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</si>
  <si>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</si>
  <si>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</si>
  <si>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</si>
  <si>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</si>
  <si>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</si>
  <si>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</si>
  <si>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</si>
  <si>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</si>
  <si>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</si>
  <si>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</si>
  <si>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</si>
  <si>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</si>
  <si>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</si>
  <si>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</si>
  <si>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</si>
  <si>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</si>
  <si>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</si>
  <si>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</si>
  <si>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</si>
  <si>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</si>
  <si>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</si>
  <si>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</si>
  <si>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</si>
  <si>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</si>
  <si>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</si>
  <si>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</si>
  <si>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</si>
  <si>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</si>
  <si>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</si>
  <si>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</si>
  <si>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</si>
  <si>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</si>
  <si>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</si>
  <si>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</si>
  <si>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</si>
  <si>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</si>
  <si>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</si>
  <si>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</si>
  <si>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</si>
  <si>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</si>
  <si>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</si>
  <si>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</si>
  <si>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</si>
  <si>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</si>
  <si>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</si>
  <si>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</si>
  <si>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</si>
  <si>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</si>
  <si>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</si>
  <si>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</si>
  <si>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</si>
  <si>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</si>
  <si>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</si>
  <si>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</si>
  <si>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</si>
  <si>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</si>
  <si>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</si>
  <si>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</si>
  <si>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</si>
  <si>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</si>
  <si>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</si>
  <si>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</si>
  <si>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</si>
  <si>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</si>
  <si>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</si>
  <si>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</si>
  <si>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</si>
  <si>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</si>
  <si>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</si>
  <si>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</si>
  <si>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</si>
  <si>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</si>
  <si>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</si>
  <si>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</si>
  <si>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</si>
  <si>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</si>
  <si>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</si>
  <si>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</si>
  <si>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</si>
  <si>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</si>
  <si>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</si>
  <si>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</si>
  <si>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</si>
  <si>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</si>
  <si>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</si>
  <si>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</si>
  <si>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</si>
  <si>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</si>
  <si>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</si>
  <si>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</si>
  <si>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</si>
  <si>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</si>
  <si>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</si>
  <si>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</si>
  <si>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</si>
  <si>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</si>
  <si>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</si>
  <si>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</si>
  <si>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</si>
  <si>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</si>
  <si>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</si>
  <si>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</si>
  <si>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</si>
  <si>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</si>
  <si>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</si>
  <si>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</si>
  <si>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</si>
  <si>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</si>
  <si>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</si>
  <si>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</si>
  <si>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</si>
  <si>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</si>
  <si>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</si>
  <si>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</si>
  <si>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</si>
  <si>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</si>
  <si>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</si>
  <si>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</si>
  <si>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</si>
  <si>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</si>
  <si>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</si>
  <si>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</si>
  <si>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</si>
  <si>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</si>
  <si>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</si>
  <si>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</si>
  <si>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</si>
  <si>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</si>
  <si>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</si>
  <si>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</si>
  <si>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</si>
  <si>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</si>
  <si>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</si>
  <si>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</si>
  <si>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</si>
  <si>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</si>
  <si>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</si>
  <si>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</si>
  <si>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</si>
  <si>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</si>
  <si>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</si>
  <si>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</si>
  <si>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</si>
  <si>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</si>
  <si>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</si>
  <si>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</si>
  <si>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</si>
  <si>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</si>
  <si>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</si>
  <si>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</si>
  <si>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</si>
  <si>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</si>
  <si>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</si>
  <si>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</si>
  <si>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</si>
  <si>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</si>
  <si>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</si>
  <si>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</si>
  <si>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</si>
  <si>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</si>
  <si>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</si>
  <si>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</si>
  <si>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</si>
  <si>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</si>
  <si>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</si>
  <si>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</si>
  <si>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</si>
  <si>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</si>
  <si>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</si>
  <si>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</si>
  <si>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</si>
  <si>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</si>
  <si>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</si>
  <si>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</si>
  <si>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</si>
  <si>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</si>
  <si>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</si>
  <si>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</si>
  <si>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</si>
  <si>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</si>
  <si>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</si>
  <si>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</si>
  <si>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</si>
  <si>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</si>
  <si>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</si>
  <si>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</si>
  <si>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</si>
  <si>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</si>
  <si>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</si>
  <si>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</si>
  <si>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</si>
  <si>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</si>
  <si>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</si>
  <si>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</si>
  <si>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</si>
  <si>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</si>
  <si>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</si>
  <si>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</si>
  <si>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</si>
  <si>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</si>
  <si>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</si>
  <si>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</si>
  <si>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</si>
  <si>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</si>
  <si>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</si>
  <si>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</si>
  <si>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</si>
  <si>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</si>
  <si>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</si>
  <si>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</si>
  <si>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</si>
  <si>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</si>
  <si>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</si>
  <si>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</si>
  <si>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</si>
  <si>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</si>
  <si>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</si>
  <si>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</si>
  <si>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</si>
  <si>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</si>
  <si>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</si>
  <si>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</si>
  <si>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</si>
  <si>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</si>
  <si>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</si>
  <si>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</si>
  <si>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</si>
  <si>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</si>
  <si>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</si>
  <si>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</si>
  <si>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</si>
  <si>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</si>
  <si>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</si>
  <si>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</si>
  <si>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</si>
  <si>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</si>
  <si>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</si>
  <si>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</si>
  <si>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</si>
  <si>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</si>
  <si>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</si>
  <si>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</si>
  <si>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</si>
  <si>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</si>
  <si>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</si>
  <si>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</si>
  <si>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</si>
  <si>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</si>
  <si>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</si>
  <si>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</si>
  <si>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</si>
  <si>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</si>
  <si>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</si>
  <si>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</si>
  <si>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</si>
  <si>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</si>
  <si>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</si>
  <si>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</si>
  <si>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</si>
  <si>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</si>
  <si>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</si>
  <si>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</si>
  <si>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</si>
  <si>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</si>
  <si>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</si>
  <si>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</si>
  <si>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</si>
  <si>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</si>
  <si>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</si>
  <si>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</si>
  <si>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</si>
  <si>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</si>
  <si>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</si>
  <si>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</si>
  <si>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</si>
  <si>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</si>
  <si>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</si>
  <si>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</si>
  <si>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</si>
  <si>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</si>
  <si>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</si>
  <si>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</si>
  <si>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</si>
  <si>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</si>
  <si>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</si>
  <si>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</si>
  <si>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</si>
  <si>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</si>
  <si>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</si>
  <si>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</si>
  <si>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</si>
  <si>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</si>
  <si>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</si>
  <si>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</si>
  <si>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</si>
  <si>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</si>
  <si>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</si>
  <si>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</si>
  <si>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</si>
  <si>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</si>
  <si>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</si>
  <si>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</si>
  <si>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</si>
  <si>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</si>
  <si>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</si>
  <si>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</si>
  <si>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</si>
  <si>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</si>
  <si>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</si>
  <si>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</si>
  <si>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</si>
  <si>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</si>
  <si>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</si>
  <si>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</si>
  <si>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</si>
  <si>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</si>
  <si>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</si>
  <si>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</si>
  <si>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</si>
  <si>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</si>
  <si>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</si>
  <si>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</si>
  <si>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</si>
  <si>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</si>
  <si>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</si>
  <si>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</si>
  <si>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</si>
  <si>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</si>
  <si>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</si>
  <si>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</si>
  <si>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</si>
  <si>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</si>
  <si>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</si>
  <si>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</si>
  <si>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</si>
  <si>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</si>
  <si>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</si>
  <si>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</si>
  <si>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</si>
  <si>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</si>
  <si>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</si>
  <si>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</si>
  <si>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</si>
  <si>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</si>
  <si>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</si>
  <si>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</si>
  <si>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</si>
  <si>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</si>
  <si>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</si>
  <si>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</si>
  <si>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</si>
  <si>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</si>
  <si>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</si>
  <si>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</si>
  <si>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</si>
  <si>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</si>
  <si>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</si>
  <si>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</si>
  <si>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</si>
  <si>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</si>
  <si>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</si>
  <si>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</si>
  <si>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</si>
  <si>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</si>
  <si>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</si>
  <si>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</si>
  <si>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</si>
  <si>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</si>
  <si>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</si>
  <si>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</si>
  <si>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</si>
  <si>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</si>
  <si>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</si>
  <si>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</si>
  <si>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</si>
  <si>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</si>
  <si>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</si>
  <si>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</si>
  <si>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</si>
  <si>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</si>
  <si>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</si>
  <si>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</si>
  <si>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</si>
  <si>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</si>
  <si>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</si>
  <si>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</si>
  <si>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</si>
  <si>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</si>
  <si>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</si>
  <si>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</si>
  <si>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</si>
  <si>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</si>
  <si>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</si>
  <si>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</si>
  <si>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</si>
  <si>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</si>
  <si>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</si>
  <si>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</si>
  <si>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</si>
  <si>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</si>
  <si>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</si>
  <si>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</si>
  <si>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</si>
  <si>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</si>
  <si>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</si>
  <si>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</si>
  <si>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</si>
  <si>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</si>
  <si>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</si>
  <si>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</si>
  <si>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</si>
  <si>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</si>
  <si>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</si>
  <si>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</si>
  <si>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</si>
  <si>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</si>
  <si>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</si>
  <si>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</si>
  <si>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</si>
  <si>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</si>
  <si>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</si>
  <si>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</si>
  <si>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</si>
  <si>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</si>
  <si>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</si>
  <si>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</si>
  <si>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</si>
  <si>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</si>
  <si>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</si>
  <si>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</si>
  <si>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</si>
  <si>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</si>
  <si>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</si>
  <si>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</si>
  <si>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</si>
  <si>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</si>
  <si>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</si>
  <si>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</si>
  <si>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</si>
  <si>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</si>
  <si>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</si>
  <si>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</si>
  <si>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</si>
  <si>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</si>
  <si>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</si>
  <si>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</si>
  <si>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</si>
  <si>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</si>
  <si>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</si>
  <si>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</si>
  <si>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</si>
  <si>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</si>
  <si>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</si>
  <si>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</si>
  <si>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</si>
  <si>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</si>
  <si>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</si>
  <si>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</si>
  <si>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</si>
  <si>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</si>
  <si>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</si>
  <si>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</si>
  <si>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</si>
  <si>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</si>
  <si>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</si>
  <si>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</si>
  <si>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</si>
  <si>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</si>
  <si>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</si>
  <si>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</si>
  <si>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</si>
  <si>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</si>
  <si>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</si>
  <si>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</si>
  <si>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</si>
  <si>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</si>
  <si>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</si>
  <si>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</si>
  <si>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</si>
  <si>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</si>
  <si>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</si>
  <si>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</si>
  <si>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</si>
  <si>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</si>
  <si>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</si>
  <si>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</si>
  <si>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</si>
  <si>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</si>
  <si>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</si>
  <si>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</si>
  <si>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</si>
  <si>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</si>
  <si>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</si>
  <si>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</si>
  <si>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</si>
  <si>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</si>
  <si>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</si>
  <si>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</si>
  <si>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</si>
  <si>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</si>
  <si>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</si>
  <si>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</si>
  <si>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</si>
  <si>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</si>
  <si>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</si>
  <si>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</si>
  <si>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</si>
  <si>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</si>
  <si>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</si>
  <si>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</si>
  <si>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</si>
  <si>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</si>
  <si>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</si>
  <si>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</si>
  <si>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</si>
  <si>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</si>
  <si>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</si>
  <si>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</si>
  <si>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</si>
  <si>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</si>
  <si>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</si>
  <si>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</si>
  <si>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</si>
  <si>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</si>
  <si>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</si>
  <si>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</si>
  <si>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</si>
  <si>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</si>
  <si>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</si>
  <si>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</si>
  <si>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</si>
  <si>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</si>
  <si>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</si>
  <si>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</si>
  <si>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</si>
  <si>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</si>
  <si>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</si>
  <si>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</si>
  <si>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</si>
  <si>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</si>
  <si>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</si>
  <si>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</si>
  <si>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</si>
  <si>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</si>
  <si>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</si>
  <si>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</si>
  <si>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</si>
  <si>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</si>
  <si>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</si>
  <si>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</si>
  <si>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</si>
  <si>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</si>
  <si>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</si>
  <si>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</si>
  <si>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</si>
  <si>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</si>
  <si>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</si>
  <si>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</si>
  <si>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</si>
  <si>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</si>
  <si>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</si>
  <si>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</si>
  <si>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</si>
  <si>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</si>
  <si>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</si>
  <si>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</si>
  <si>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</si>
  <si>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</si>
  <si>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</si>
  <si>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</si>
  <si>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</si>
  <si>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</si>
  <si>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</si>
  <si>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</si>
  <si>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</si>
  <si>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</si>
  <si>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</si>
  <si>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</si>
  <si>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</si>
  <si>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</si>
  <si>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</si>
  <si>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</si>
  <si>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</si>
  <si>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</si>
  <si>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</si>
  <si>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</si>
  <si>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</si>
  <si>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</si>
  <si>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</si>
  <si>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</si>
  <si>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</si>
  <si>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</si>
  <si>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</si>
  <si>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</si>
  <si>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</si>
  <si>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</si>
  <si>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</si>
  <si>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</si>
  <si>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</si>
  <si>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</si>
  <si>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</si>
  <si>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</si>
  <si>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</si>
  <si>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</si>
  <si>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</si>
  <si>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</si>
  <si>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</si>
  <si>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</si>
  <si>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</si>
  <si>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</si>
  <si>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</si>
  <si>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</si>
  <si>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</si>
  <si>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</si>
  <si>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</si>
  <si>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</si>
  <si>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</si>
  <si>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</si>
  <si>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</si>
  <si>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</si>
  <si>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</si>
  <si>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</si>
  <si>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</si>
  <si>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</si>
  <si>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</si>
  <si>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</si>
  <si>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</si>
  <si>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</si>
  <si>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</si>
  <si>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</si>
  <si>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</si>
  <si>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</si>
  <si>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</si>
  <si>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</si>
  <si>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</si>
  <si>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</si>
  <si>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</si>
  <si>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</si>
  <si>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</si>
  <si>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</si>
  <si>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</si>
  <si>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</si>
  <si>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</si>
  <si>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</si>
  <si>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</si>
  <si>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</si>
  <si>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</si>
  <si>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</si>
  <si>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</si>
  <si>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</si>
  <si>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</si>
  <si>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</si>
  <si>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</si>
  <si>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</si>
  <si>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</si>
  <si>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</si>
  <si>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</si>
  <si>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</si>
  <si>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</si>
  <si>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</si>
  <si>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</si>
  <si>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</si>
  <si>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</si>
  <si>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</si>
  <si>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</si>
  <si>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</si>
  <si>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</si>
  <si>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</si>
  <si>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</si>
  <si>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</si>
  <si>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</si>
  <si>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</si>
  <si>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</si>
  <si>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</si>
  <si>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</si>
  <si>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</si>
  <si>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</si>
  <si>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</si>
  <si>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</si>
  <si>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</si>
  <si>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</si>
  <si>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</si>
  <si>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</si>
  <si>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</si>
  <si>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</si>
  <si>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</si>
  <si>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</si>
  <si>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</si>
  <si>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</si>
  <si>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</si>
  <si>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</si>
  <si>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</si>
  <si>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</si>
  <si>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</si>
  <si>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</si>
  <si>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</si>
  <si>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</si>
  <si>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</si>
  <si>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</si>
  <si>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</si>
  <si>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</si>
  <si>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</si>
  <si>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</si>
  <si>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</si>
  <si>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</si>
  <si>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</si>
  <si>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</si>
  <si>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</si>
  <si>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</si>
  <si>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</si>
  <si>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</si>
  <si>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</si>
  <si>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</si>
  <si>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</si>
  <si>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</si>
  <si>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</si>
  <si>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</si>
  <si>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</si>
  <si>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</si>
  <si>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</si>
  <si>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</si>
  <si>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</si>
  <si>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</si>
  <si>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</si>
  <si>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</si>
  <si>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</si>
  <si>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</si>
  <si>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</si>
  <si>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</si>
  <si>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</si>
  <si>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</si>
  <si>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</si>
  <si>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</si>
  <si>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</si>
  <si>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</si>
  <si>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</si>
  <si>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</si>
  <si>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</si>
  <si>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</si>
  <si>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</si>
  <si>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</si>
  <si>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</si>
  <si>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</si>
  <si>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</si>
  <si>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</si>
  <si>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</si>
  <si>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</si>
  <si>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</si>
  <si>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</si>
  <si>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</si>
  <si>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</si>
  <si>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</si>
  <si>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</si>
  <si>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</si>
  <si>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</si>
  <si>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</si>
  <si>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</si>
  <si>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</si>
  <si>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</si>
  <si>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</si>
  <si>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</si>
  <si>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</si>
  <si>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</si>
  <si>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</si>
  <si>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</si>
  <si>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</si>
  <si>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</si>
  <si>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</si>
  <si>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</si>
  <si>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</si>
  <si>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</si>
  <si>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</si>
  <si>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</si>
  <si>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</si>
  <si>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</si>
  <si>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</si>
  <si>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</si>
  <si>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</si>
  <si>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</si>
  <si>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</si>
  <si>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</si>
  <si>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</si>
  <si>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</si>
  <si>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</si>
  <si>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</si>
  <si>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</si>
  <si>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</si>
  <si>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</si>
  <si>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</si>
  <si>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</si>
  <si>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</si>
  <si>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</si>
  <si>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</si>
  <si>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</si>
  <si>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</si>
  <si>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</si>
  <si>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</si>
  <si>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</si>
  <si>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</si>
  <si>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</si>
  <si>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</si>
  <si>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</si>
  <si>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</si>
  <si>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</si>
  <si>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</si>
  <si>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</si>
  <si>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</si>
  <si>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</si>
  <si>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</si>
  <si>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</si>
  <si>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</si>
  <si>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</si>
  <si>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</si>
  <si>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</si>
  <si>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</si>
  <si>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</si>
  <si>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</si>
  <si>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</si>
  <si>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</si>
  <si>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</si>
  <si>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</si>
  <si>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</si>
  <si>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</si>
  <si>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</si>
  <si>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</si>
  <si>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</si>
  <si>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</si>
  <si>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</si>
  <si>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</si>
  <si>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</si>
  <si>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</si>
  <si>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</si>
  <si>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</si>
  <si>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</si>
  <si>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</si>
  <si>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</si>
  <si>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</si>
  <si>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</si>
  <si>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</si>
  <si>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</si>
  <si>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</si>
  <si>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</si>
  <si>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</si>
  <si>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</si>
  <si>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</si>
  <si>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</si>
  <si>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</si>
  <si>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</si>
  <si>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</si>
  <si>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</si>
  <si>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</si>
  <si>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</si>
  <si>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</si>
  <si>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</si>
  <si>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</si>
  <si>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</si>
  <si>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</si>
  <si>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</si>
  <si>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</si>
  <si>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</si>
  <si>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</si>
  <si>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</si>
  <si>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</si>
  <si>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</si>
  <si>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</si>
  <si>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</si>
  <si>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</si>
  <si>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</si>
  <si>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</si>
  <si>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</si>
  <si>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</si>
  <si>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</si>
  <si>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</si>
  <si>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</si>
  <si>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</si>
  <si>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</si>
  <si>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</si>
  <si>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</si>
  <si>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</si>
  <si>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</si>
  <si>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</si>
  <si>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</si>
  <si>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</si>
  <si>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</si>
  <si>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</si>
  <si>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</si>
  <si>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</si>
  <si>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</si>
  <si>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</si>
  <si>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</si>
  <si>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</si>
  <si>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</si>
  <si>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</si>
  <si>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</si>
  <si>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</si>
  <si>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</si>
  <si>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</si>
  <si>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</si>
  <si>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</si>
  <si>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</si>
  <si>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</si>
  <si>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</si>
  <si>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</si>
  <si>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</si>
  <si>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</si>
  <si>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</si>
  <si>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</si>
  <si>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</si>
  <si>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</si>
  <si>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</si>
  <si>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</si>
  <si>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</si>
  <si>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</si>
  <si>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</si>
  <si>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</si>
  <si>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</si>
  <si>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</si>
  <si>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</si>
  <si>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</si>
  <si>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</si>
  <si>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</si>
  <si>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</si>
  <si>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</si>
  <si>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</si>
  <si>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</si>
  <si>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</si>
  <si>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</si>
  <si>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</si>
  <si>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</si>
  <si>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</si>
  <si>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</si>
  <si>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</si>
  <si>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</si>
  <si>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</si>
  <si>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</si>
  <si>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</si>
  <si>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</si>
  <si>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</si>
  <si>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</si>
  <si>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</si>
  <si>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</si>
  <si>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</si>
  <si>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</si>
  <si>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</si>
  <si>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</si>
  <si>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</si>
  <si>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</si>
  <si>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</si>
  <si>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</si>
  <si>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</si>
  <si>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</si>
  <si>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</si>
  <si>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</si>
  <si>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</si>
  <si>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</si>
  <si>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</si>
  <si>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</si>
  <si>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</si>
  <si>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</si>
  <si>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</si>
  <si>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</si>
  <si>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</si>
  <si>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</si>
  <si>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</si>
  <si>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</si>
  <si>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</si>
  <si>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</si>
  <si>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</si>
  <si>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</si>
  <si>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</si>
  <si>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</si>
  <si>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</si>
  <si>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</si>
  <si>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</si>
  <si>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</si>
  <si>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</si>
  <si>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</si>
  <si>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</si>
  <si>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</si>
  <si>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</si>
  <si>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</si>
  <si>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</si>
  <si>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</si>
  <si>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</si>
  <si>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</si>
  <si>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</si>
  <si>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</si>
  <si>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</si>
  <si>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</si>
  <si>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</si>
  <si>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</si>
  <si>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</si>
  <si>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</si>
  <si>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</si>
  <si>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</si>
  <si>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</si>
  <si>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</si>
  <si>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</si>
  <si>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</si>
  <si>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</si>
  <si>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</si>
  <si>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</si>
  <si>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</si>
  <si>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</si>
  <si>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</si>
  <si>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</si>
  <si>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</si>
  <si>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</si>
  <si>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</si>
  <si>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</si>
  <si>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</si>
  <si>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</si>
  <si>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</si>
  <si>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</si>
  <si>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</si>
  <si>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</si>
  <si>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</si>
  <si>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</si>
  <si>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</si>
  <si>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</si>
  <si>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</si>
  <si>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</si>
  <si>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</si>
  <si>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</si>
  <si>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</si>
  <si>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</si>
  <si>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</si>
  <si>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</si>
  <si>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</si>
  <si>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</si>
  <si>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</si>
  <si>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</si>
  <si>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</si>
  <si>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</si>
  <si>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</si>
  <si>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</si>
  <si>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</si>
  <si>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</si>
  <si>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</si>
  <si>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</si>
  <si>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</si>
  <si>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</si>
  <si>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</si>
  <si>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</si>
  <si>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</si>
  <si>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</si>
  <si>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</si>
  <si>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</si>
  <si>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</si>
  <si>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</si>
  <si>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</si>
  <si>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</si>
  <si>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</si>
  <si>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</si>
  <si>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</si>
  <si>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</si>
  <si>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</si>
  <si>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</si>
  <si>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</si>
  <si>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</si>
  <si>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</si>
  <si>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</si>
  <si>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</si>
  <si>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</si>
  <si>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</si>
  <si>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</si>
  <si>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</si>
  <si>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</si>
  <si>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</si>
  <si>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</si>
  <si>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</si>
  <si>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</si>
  <si>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</si>
  <si>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</si>
  <si>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</si>
  <si>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</si>
  <si>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</si>
  <si>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</si>
  <si>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</si>
  <si>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</si>
  <si>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</si>
  <si>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</si>
  <si>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</si>
  <si>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</si>
  <si>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</si>
  <si>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</si>
  <si>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</si>
  <si>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</si>
  <si>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</si>
  <si>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</si>
  <si>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</si>
  <si>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</si>
  <si>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</si>
  <si>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</si>
  <si>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</si>
  <si>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</si>
  <si>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</si>
  <si>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</si>
  <si>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</si>
  <si>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</si>
  <si>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</si>
  <si>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</si>
  <si>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</si>
  <si>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</si>
  <si>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</si>
  <si>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</si>
  <si>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</si>
  <si>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</si>
  <si>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</si>
  <si>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</si>
  <si>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</si>
  <si>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</si>
  <si>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</si>
  <si>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</si>
  <si>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</si>
  <si>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</si>
  <si>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</si>
  <si>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</si>
  <si>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</si>
  <si>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</si>
  <si>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</si>
  <si>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</si>
  <si>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</si>
  <si>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</si>
  <si>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</si>
  <si>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</si>
  <si>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</si>
  <si>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</si>
  <si>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</si>
  <si>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</si>
  <si>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</si>
  <si>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</si>
  <si>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</si>
  <si>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</si>
  <si>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</si>
  <si>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</si>
  <si>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</si>
  <si>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</si>
  <si>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</si>
  <si>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</si>
  <si>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</si>
  <si>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</si>
  <si>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</si>
  <si>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</si>
  <si>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</si>
  <si>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</si>
  <si>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</si>
  <si>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</si>
  <si>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</si>
  <si>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</si>
  <si>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</si>
  <si>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</si>
  <si>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</si>
  <si>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</si>
  <si>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</si>
  <si>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</si>
  <si>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</si>
  <si>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</si>
  <si>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</si>
  <si>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</si>
  <si>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</si>
  <si>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</si>
  <si>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</si>
  <si>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</si>
  <si>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</si>
  <si>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</si>
  <si>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</si>
  <si>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</si>
  <si>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</si>
  <si>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</si>
  <si>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</si>
  <si>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</si>
  <si>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</si>
  <si>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</si>
  <si>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</si>
  <si>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</si>
  <si>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</si>
  <si>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</si>
  <si>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</si>
  <si>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</si>
  <si>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</si>
  <si>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</si>
  <si>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</si>
  <si>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</si>
  <si>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</si>
  <si>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</si>
  <si>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</si>
  <si>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</si>
  <si>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</si>
  <si>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</si>
  <si>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</si>
  <si>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</si>
  <si>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</si>
  <si>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</si>
  <si>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</si>
  <si>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</si>
  <si>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</si>
  <si>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</si>
  <si>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</si>
  <si>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</si>
  <si>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</si>
  <si>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</si>
  <si>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</si>
  <si>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</si>
  <si>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</si>
  <si>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</si>
  <si>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</si>
  <si>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</si>
  <si>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</si>
  <si>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</si>
  <si>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</si>
  <si>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</si>
  <si>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</si>
  <si>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</si>
  <si>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</si>
  <si>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</si>
  <si>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</si>
  <si>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</si>
  <si>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</si>
  <si>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</si>
  <si>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</si>
  <si>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</si>
  <si>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</si>
  <si>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</si>
  <si>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</si>
  <si>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</si>
  <si>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</si>
  <si>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</si>
  <si>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</si>
  <si>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</si>
  <si>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</si>
  <si>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</si>
  <si>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</si>
  <si>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</si>
  <si>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</si>
  <si>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</si>
  <si>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</si>
  <si>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</si>
  <si>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</si>
  <si>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</si>
  <si>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</si>
  <si>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</si>
  <si>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</si>
  <si>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</si>
  <si>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</si>
  <si>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</si>
  <si>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</si>
  <si>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</si>
  <si>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</si>
  <si>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</si>
  <si>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</si>
  <si>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</si>
  <si>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</si>
  <si>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</si>
  <si>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</si>
  <si>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</si>
  <si>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</si>
  <si>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</si>
  <si>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</si>
  <si>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</si>
  <si>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</si>
  <si>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</si>
  <si>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</si>
  <si>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</si>
  <si>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</si>
  <si>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</si>
  <si>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</si>
  <si>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</si>
  <si>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</si>
  <si>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</si>
  <si>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</si>
  <si>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</si>
  <si>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</si>
  <si>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</si>
  <si>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</si>
  <si>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</si>
  <si>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</si>
  <si>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</si>
  <si>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</si>
  <si>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</si>
  <si>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</si>
  <si>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</si>
  <si>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</si>
  <si>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</si>
  <si>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</si>
  <si>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</si>
  <si>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</si>
  <si>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</si>
  <si>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</si>
  <si>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</si>
  <si>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</si>
  <si>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</si>
  <si>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</si>
  <si>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</si>
  <si>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</si>
  <si>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</si>
  <si>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</si>
  <si>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</si>
  <si>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</si>
  <si>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</si>
  <si>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</si>
  <si>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</si>
  <si>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</si>
  <si>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</si>
  <si>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</si>
  <si>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</si>
  <si>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</si>
  <si>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</si>
  <si>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</si>
  <si>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</si>
  <si>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</si>
  <si>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</si>
  <si>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</si>
  <si>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</si>
  <si>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</si>
  <si>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</si>
  <si>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</si>
  <si>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</si>
  <si>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</si>
  <si>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</si>
  <si>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</si>
  <si>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</si>
  <si>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</si>
  <si>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</si>
  <si>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</si>
  <si>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</si>
  <si>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</si>
  <si>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</si>
  <si>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</si>
  <si>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</si>
  <si>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</si>
  <si>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</si>
  <si>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</si>
  <si>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</si>
  <si>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</si>
  <si>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</si>
  <si>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</si>
  <si>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</si>
  <si>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</si>
  <si>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</si>
  <si>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</si>
  <si>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</si>
  <si>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</si>
  <si>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</si>
  <si>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</si>
  <si>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</si>
  <si>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</si>
  <si>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</si>
  <si>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</si>
  <si>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</si>
  <si>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</si>
  <si>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</si>
  <si>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</si>
  <si>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</si>
  <si>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</si>
  <si>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</si>
  <si>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</si>
  <si>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</si>
  <si>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</si>
  <si>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</si>
  <si>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</si>
  <si>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</si>
  <si>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</si>
  <si>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</si>
  <si>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</si>
  <si>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</si>
  <si>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</si>
  <si>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</si>
  <si>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</si>
  <si>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</si>
  <si>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</si>
  <si>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</si>
  <si>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</si>
  <si>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</si>
  <si>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</si>
  <si>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</si>
  <si>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</si>
  <si>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</si>
  <si>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</si>
  <si>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</si>
  <si>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</si>
  <si>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</si>
  <si>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</si>
  <si>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</si>
  <si>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</si>
  <si>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</si>
  <si>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</si>
  <si>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</si>
  <si>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</si>
  <si>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</si>
  <si>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</si>
  <si>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</si>
  <si>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</si>
  <si>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</si>
  <si>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</si>
  <si>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</si>
  <si>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</si>
  <si>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</si>
  <si>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</si>
  <si>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</si>
  <si>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</si>
  <si>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</si>
  <si>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</si>
  <si>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</si>
  <si>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</si>
  <si>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</si>
  <si>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</si>
  <si>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</si>
  <si>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</si>
  <si>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</si>
  <si>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</si>
  <si>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</si>
  <si>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</si>
  <si>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</si>
  <si>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</si>
  <si>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</si>
  <si>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</si>
  <si>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</si>
  <si>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</si>
  <si>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</si>
  <si>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</si>
  <si>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</si>
  <si>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</si>
  <si>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</si>
  <si>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</si>
  <si>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</si>
  <si>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</si>
  <si>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</si>
  <si>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</si>
  <si>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</si>
  <si>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</si>
  <si>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</si>
  <si>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</si>
  <si>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</si>
  <si>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</si>
  <si>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</si>
  <si>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</si>
  <si>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</si>
  <si>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</si>
  <si>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</si>
  <si>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</si>
  <si>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</si>
  <si>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</si>
  <si>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</si>
  <si>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</si>
  <si>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</si>
  <si>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</si>
  <si>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</si>
  <si>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</si>
  <si>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</si>
  <si>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</si>
  <si>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</si>
  <si>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</si>
  <si>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</si>
  <si>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</si>
  <si>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</si>
  <si>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</si>
  <si>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</si>
  <si>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</si>
  <si>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</si>
  <si>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</si>
  <si>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</si>
  <si>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</si>
  <si>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</si>
  <si>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</si>
  <si>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</si>
  <si>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</si>
  <si>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</si>
  <si>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</si>
  <si>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</si>
  <si>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</si>
  <si>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</si>
  <si>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</si>
  <si>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</si>
  <si>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</si>
  <si>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</si>
  <si>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</si>
  <si>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</si>
  <si>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</si>
  <si>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</si>
  <si>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</si>
  <si>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</si>
  <si>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</si>
  <si>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</si>
  <si>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</si>
  <si>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</si>
  <si>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</si>
  <si>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</si>
  <si>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</si>
  <si>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</si>
  <si>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</si>
  <si>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</si>
  <si>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</si>
  <si>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</si>
  <si>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</si>
  <si>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</si>
  <si>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</si>
  <si>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</si>
  <si>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</si>
  <si>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</si>
  <si>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</si>
  <si>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</si>
  <si>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</si>
  <si>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</si>
  <si>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</si>
  <si>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</si>
  <si>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</si>
  <si>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</si>
  <si>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</si>
  <si>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</si>
  <si>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</si>
  <si>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</si>
  <si>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</si>
  <si>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</si>
  <si>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</si>
  <si>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</si>
  <si>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</si>
  <si>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</si>
  <si>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</si>
  <si>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</si>
  <si>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</si>
  <si>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</si>
  <si>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</si>
  <si>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</si>
  <si>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</si>
  <si>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</si>
  <si>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</si>
  <si>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</si>
  <si>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</si>
  <si>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</si>
  <si>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</si>
  <si>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</si>
  <si>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</si>
  <si>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</si>
  <si>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</si>
  <si>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</si>
  <si>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</si>
  <si>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</si>
  <si>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</si>
  <si>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</si>
  <si>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</si>
  <si>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</si>
  <si>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</si>
  <si>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</si>
  <si>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</si>
  <si>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</si>
  <si>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</si>
  <si>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</si>
  <si>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</si>
  <si>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</si>
  <si>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</si>
  <si>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</si>
  <si>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</si>
  <si>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</si>
  <si>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</si>
  <si>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</si>
  <si>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</si>
  <si>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</si>
  <si>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</si>
  <si>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</si>
  <si>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</si>
  <si>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</si>
  <si>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</si>
  <si>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</si>
  <si>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</si>
  <si>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</si>
  <si>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</si>
  <si>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</si>
  <si>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</si>
  <si>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</si>
  <si>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</si>
  <si>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</si>
  <si>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</si>
  <si>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</si>
  <si>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</si>
  <si>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</si>
  <si>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</si>
  <si>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</si>
  <si>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</si>
  <si>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</si>
  <si>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</si>
  <si>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</si>
  <si>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</si>
  <si>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</si>
  <si>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</si>
  <si>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</si>
  <si>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</si>
  <si>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</si>
  <si>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</si>
  <si>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</si>
  <si>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</si>
  <si>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</si>
  <si>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</si>
  <si>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</si>
  <si>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</si>
  <si>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</si>
  <si>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</si>
  <si>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</si>
  <si>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</si>
  <si>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</si>
  <si>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</si>
  <si>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</si>
  <si>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</si>
  <si>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</si>
  <si>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</si>
  <si>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</si>
  <si>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</si>
  <si>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</si>
  <si>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</si>
  <si>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</si>
  <si>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</si>
  <si>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</si>
  <si>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</si>
  <si>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</si>
  <si>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</si>
  <si>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</si>
  <si>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</si>
  <si>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</si>
  <si>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</si>
  <si>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</si>
  <si>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</si>
  <si>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</si>
  <si>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</si>
  <si>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</si>
  <si>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</si>
  <si>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</si>
  <si>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</si>
  <si>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</si>
  <si>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</si>
  <si>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</si>
  <si>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</si>
  <si>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</si>
  <si>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</si>
  <si>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</si>
  <si>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</si>
  <si>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</si>
  <si>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</si>
  <si>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</si>
  <si>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</si>
  <si>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</si>
  <si>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</si>
  <si>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</si>
  <si>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</si>
  <si>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</si>
  <si>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</si>
  <si>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</si>
  <si>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</si>
  <si>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</si>
  <si>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</si>
  <si>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</si>
  <si>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</si>
  <si>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</si>
  <si>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</si>
  <si>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</si>
  <si>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</si>
  <si>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</si>
  <si>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</si>
  <si>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</si>
  <si>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</si>
  <si>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</si>
  <si>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</si>
  <si>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</si>
  <si>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</si>
  <si>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</si>
  <si>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</si>
  <si>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</si>
  <si>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</si>
  <si>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</si>
  <si>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</si>
  <si>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</si>
  <si>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</si>
  <si>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</si>
  <si>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</si>
  <si>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</si>
  <si>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</si>
  <si>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</si>
  <si>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</si>
  <si>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</si>
  <si>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</si>
  <si>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</si>
  <si>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</si>
  <si>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</si>
  <si>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</si>
  <si>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</si>
  <si>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</si>
  <si>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</si>
  <si>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</si>
  <si>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</si>
  <si>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</si>
  <si>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</si>
  <si>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</si>
  <si>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</si>
  <si>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</si>
  <si>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</si>
  <si>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</si>
  <si>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</si>
  <si>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</si>
  <si>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</si>
  <si>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</si>
  <si>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</si>
  <si>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</si>
  <si>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</si>
  <si>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</si>
  <si>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</si>
  <si>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</si>
  <si>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</si>
  <si>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</si>
  <si>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</si>
  <si>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</si>
  <si>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</si>
  <si>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</si>
  <si>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</si>
  <si>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</si>
  <si>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</si>
  <si>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</si>
  <si>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</si>
  <si>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</si>
  <si>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</si>
  <si>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</si>
  <si>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</si>
  <si>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</si>
  <si>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</si>
  <si>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</si>
  <si>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</si>
  <si>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</si>
  <si>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</si>
  <si>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</si>
  <si>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</si>
  <si>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</si>
  <si>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</si>
  <si>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</si>
  <si>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</si>
  <si>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</si>
  <si>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</si>
  <si>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</si>
  <si>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</si>
  <si>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</si>
  <si>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</si>
  <si>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</si>
  <si>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</si>
  <si>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</si>
  <si>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</si>
  <si>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</si>
  <si>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</si>
  <si>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</si>
  <si>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</si>
  <si>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</si>
  <si>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</si>
  <si>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</si>
  <si>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</si>
  <si>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</si>
  <si>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</si>
  <si>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</si>
  <si>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</si>
  <si>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</si>
  <si>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</si>
  <si>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</si>
  <si>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</si>
  <si>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</si>
  <si>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</si>
  <si>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</si>
  <si>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</si>
  <si>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</si>
  <si>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</si>
  <si>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</si>
  <si>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</si>
  <si>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</si>
  <si>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</si>
  <si>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</si>
  <si>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</si>
  <si>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</si>
  <si>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</si>
  <si>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</si>
  <si>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</si>
  <si>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</si>
  <si>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</si>
  <si>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</si>
  <si>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</si>
  <si>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</si>
  <si>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</si>
  <si>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</si>
  <si>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</si>
  <si>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</si>
  <si>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</si>
  <si>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</si>
  <si>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</si>
  <si>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</si>
  <si>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</si>
  <si>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</si>
  <si>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</si>
  <si>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</si>
  <si>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</si>
  <si>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</si>
  <si>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</si>
  <si>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</si>
  <si>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</si>
  <si>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</si>
  <si>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</si>
  <si>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</si>
  <si>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</si>
  <si>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</si>
  <si>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</si>
  <si>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</si>
  <si>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</si>
  <si>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</si>
  <si>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</si>
  <si>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</si>
  <si>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</si>
  <si>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</si>
  <si>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</si>
  <si>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</si>
  <si>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</si>
  <si>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</si>
  <si>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</si>
  <si>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</si>
  <si>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</si>
  <si>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</si>
  <si>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</si>
  <si>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</si>
  <si>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</si>
  <si>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</si>
  <si>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</si>
  <si>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</si>
  <si>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</si>
  <si>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</si>
  <si>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</si>
  <si>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</si>
  <si>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</si>
  <si>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</si>
  <si>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</si>
  <si>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</si>
  <si>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</si>
  <si>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</si>
  <si>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</si>
  <si>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</si>
  <si>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</si>
  <si>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</si>
  <si>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</si>
  <si>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</si>
  <si>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</si>
  <si>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</si>
  <si>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</si>
  <si>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</si>
  <si>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</si>
  <si>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</si>
  <si>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</si>
  <si>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</si>
  <si>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</si>
  <si>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</si>
  <si>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</si>
  <si>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</si>
  <si>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</si>
  <si>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</si>
  <si>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</si>
  <si>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</si>
  <si>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</si>
  <si>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</si>
  <si>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</si>
  <si>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</si>
  <si>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</si>
  <si>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</si>
  <si>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</si>
  <si>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</si>
  <si>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</si>
  <si>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</si>
  <si>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</si>
  <si>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</si>
  <si>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</si>
  <si>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</si>
  <si>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</si>
  <si>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</si>
  <si>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</si>
  <si>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</si>
  <si>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</si>
  <si>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</si>
  <si>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</si>
  <si>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</si>
  <si>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</si>
  <si>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</si>
  <si>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</si>
  <si>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</si>
  <si>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</si>
  <si>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</si>
  <si>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</si>
  <si>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</si>
  <si>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</si>
  <si>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</si>
  <si>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</si>
  <si>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</si>
  <si>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</si>
  <si>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</si>
  <si>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</si>
  <si>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</si>
  <si>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</si>
  <si>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</si>
  <si>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</si>
  <si>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</si>
  <si>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</si>
  <si>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</si>
  <si>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</si>
  <si>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</si>
  <si>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</si>
  <si>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</si>
  <si>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</si>
  <si>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</si>
  <si>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</si>
  <si>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</si>
  <si>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</si>
  <si>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</si>
  <si>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</si>
  <si>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</si>
  <si>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</si>
  <si>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</si>
  <si>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</si>
  <si>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</si>
  <si>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</si>
  <si>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</si>
  <si>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</si>
  <si>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</si>
  <si>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</si>
  <si>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</si>
  <si>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</si>
  <si>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</si>
  <si>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</si>
  <si>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</si>
  <si>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</si>
  <si>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</si>
  <si>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</si>
  <si>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</si>
  <si>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</si>
  <si>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</si>
  <si>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</si>
  <si>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</si>
  <si>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</si>
  <si>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</si>
  <si>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</si>
  <si>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</si>
  <si>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</si>
  <si>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</si>
  <si>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</si>
  <si>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</si>
  <si>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</si>
  <si>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</si>
  <si>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</si>
  <si>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</si>
  <si>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</si>
  <si>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</si>
  <si>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</si>
  <si>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</si>
  <si>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</si>
  <si>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</si>
  <si>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</si>
  <si>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</si>
  <si>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</si>
  <si>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</si>
  <si>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</si>
  <si>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</si>
  <si>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</si>
  <si>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</si>
  <si>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</si>
  <si>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</si>
  <si>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</si>
  <si>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</si>
  <si>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</si>
  <si>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</si>
  <si>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</si>
  <si>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</si>
  <si>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</si>
  <si>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</si>
  <si>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</si>
  <si>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</si>
  <si>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</si>
  <si>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</si>
  <si>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</si>
  <si>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</si>
  <si>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</si>
  <si>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</si>
  <si>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</si>
  <si>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</si>
  <si>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</si>
  <si>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</si>
  <si>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</si>
  <si>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</si>
  <si>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</si>
  <si>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</si>
  <si>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</si>
  <si>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</si>
  <si>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</si>
  <si>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</si>
  <si>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</si>
  <si>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</si>
  <si>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</si>
  <si>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</si>
  <si>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</si>
  <si>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</si>
  <si>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</si>
  <si>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</si>
  <si>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</si>
  <si>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</si>
  <si>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</si>
  <si>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</si>
  <si>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</si>
  <si>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</si>
  <si>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</si>
  <si>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</si>
  <si>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</si>
  <si>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</si>
  <si>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</si>
  <si>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</si>
  <si>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</si>
  <si>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</si>
  <si>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</si>
  <si>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</si>
  <si>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</si>
  <si>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</si>
  <si>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</si>
  <si>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</si>
  <si>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</si>
  <si>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</si>
  <si>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</si>
  <si>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</si>
  <si>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</si>
  <si>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</si>
  <si>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</si>
  <si>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</si>
  <si>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</si>
  <si>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</si>
  <si>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</si>
  <si>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</si>
  <si>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</si>
  <si>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</si>
  <si>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</si>
  <si>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</si>
  <si>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</si>
  <si>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</si>
  <si>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</si>
  <si>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</si>
  <si>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</si>
  <si>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</si>
  <si>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</si>
  <si>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</si>
  <si>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</si>
  <si>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</si>
  <si>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</si>
  <si>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</si>
  <si>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</si>
  <si>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</si>
  <si>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</si>
  <si>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</si>
  <si>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</si>
  <si>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</si>
  <si>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</si>
  <si>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</si>
  <si>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</si>
  <si>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</si>
  <si>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</si>
  <si>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</si>
  <si>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</si>
  <si>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</si>
  <si>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</si>
  <si>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</si>
  <si>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</si>
  <si>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</si>
  <si>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</si>
  <si>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</si>
  <si>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</si>
  <si>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</si>
  <si>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</si>
  <si>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</si>
  <si>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</si>
  <si>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</si>
  <si>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</si>
  <si>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</si>
  <si>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</si>
  <si>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</si>
  <si>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</si>
  <si>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</si>
  <si>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</si>
  <si>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</si>
  <si>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</si>
  <si>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</si>
  <si>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</si>
  <si>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</si>
  <si>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</si>
  <si>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</si>
  <si>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</si>
  <si>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</si>
  <si>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</si>
  <si>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</si>
  <si>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</si>
  <si>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</si>
  <si>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</si>
  <si>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</si>
  <si>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</si>
  <si>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</si>
  <si>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</si>
  <si>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</si>
  <si>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</si>
  <si>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</si>
  <si>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</si>
  <si>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</si>
  <si>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</si>
  <si>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</si>
  <si>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</si>
  <si>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</si>
  <si>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</si>
  <si>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</si>
  <si>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</si>
  <si>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</si>
  <si>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</si>
  <si>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</si>
  <si>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</si>
  <si>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</si>
  <si>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</si>
  <si>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</si>
  <si>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</si>
  <si>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</si>
  <si>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</si>
  <si>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</si>
  <si>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</si>
  <si>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</si>
  <si>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</si>
  <si>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</si>
  <si>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</si>
  <si>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</si>
  <si>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</si>
  <si>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</si>
  <si>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</si>
  <si>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</si>
  <si>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</si>
  <si>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</si>
  <si>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</si>
  <si>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</si>
  <si>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</si>
  <si>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</si>
  <si>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</si>
  <si>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</si>
  <si>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</si>
  <si>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</si>
  <si>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</si>
  <si>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</si>
  <si>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</si>
  <si>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</si>
  <si>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</si>
  <si>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</si>
  <si>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</si>
  <si>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</si>
  <si>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</si>
  <si>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</si>
  <si>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</si>
  <si>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</si>
  <si>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</si>
  <si>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</si>
  <si>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</si>
  <si>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</si>
  <si>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</si>
  <si>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</si>
  <si>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</si>
  <si>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</si>
  <si>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</si>
  <si>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</si>
  <si>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</si>
  <si>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</si>
  <si>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</si>
  <si>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</si>
  <si>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</si>
  <si>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</si>
  <si>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</si>
  <si>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</si>
  <si>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</si>
  <si>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</si>
  <si>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</si>
  <si>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</si>
  <si>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</si>
  <si>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</si>
  <si>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</si>
  <si>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</si>
  <si>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</si>
  <si>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</si>
  <si>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</si>
  <si>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</si>
  <si>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</si>
  <si>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</si>
  <si>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</si>
  <si>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</si>
  <si>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</si>
  <si>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</si>
  <si>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</si>
  <si>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</si>
  <si>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</si>
  <si>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</si>
  <si>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</si>
  <si>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</si>
  <si>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</si>
  <si>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</si>
  <si>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</si>
  <si>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</si>
  <si>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</si>
  <si>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</si>
  <si>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</si>
  <si>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</si>
  <si>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</si>
  <si>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</si>
  <si>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</si>
  <si>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</si>
  <si>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</si>
  <si>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</si>
  <si>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</si>
  <si>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</si>
  <si>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</si>
  <si>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</si>
  <si>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</si>
  <si>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</si>
  <si>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</si>
  <si>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</si>
  <si>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</si>
  <si>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</si>
  <si>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</si>
  <si>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</si>
  <si>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</si>
  <si>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</si>
  <si>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</si>
  <si>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</si>
  <si>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</si>
  <si>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</si>
  <si>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</si>
  <si>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</si>
  <si>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</si>
  <si>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</si>
  <si>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</si>
  <si>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</si>
  <si>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</si>
  <si>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</si>
  <si>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</si>
  <si>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</si>
  <si>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</si>
  <si>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</si>
  <si>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</si>
  <si>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</si>
  <si>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</si>
  <si>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</si>
  <si>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</si>
  <si>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</si>
  <si>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</si>
  <si>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</si>
  <si>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</si>
  <si>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</si>
  <si>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</si>
  <si>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</si>
  <si>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</si>
  <si>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</si>
  <si>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</si>
  <si>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</si>
  <si>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</si>
  <si>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</si>
  <si>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</si>
  <si>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</si>
  <si>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</si>
  <si>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</si>
  <si>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</si>
  <si>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</si>
  <si>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</si>
  <si>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</si>
  <si>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</si>
  <si>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</si>
  <si>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</si>
  <si>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</si>
  <si>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</si>
  <si>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</si>
  <si>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</si>
  <si>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</si>
  <si>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</si>
  <si>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</si>
  <si>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</si>
  <si>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</si>
  <si>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</si>
  <si>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</si>
  <si>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</si>
  <si>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</si>
  <si>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</si>
  <si>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</si>
  <si>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</si>
  <si>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</si>
  <si>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</si>
  <si>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</si>
  <si>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</si>
  <si>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</si>
  <si>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</si>
  <si>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</si>
  <si>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</si>
  <si>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</si>
  <si>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</si>
  <si>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</si>
  <si>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</si>
  <si>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</si>
  <si>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</si>
  <si>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</si>
  <si>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</si>
  <si>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</si>
  <si>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</si>
  <si>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</si>
  <si>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</si>
  <si>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</si>
  <si>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</si>
  <si>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</si>
  <si>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</si>
  <si>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</si>
  <si>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</si>
  <si>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</si>
  <si>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</si>
  <si>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</si>
  <si>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</si>
  <si>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</si>
  <si>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</si>
  <si>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</si>
  <si>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</si>
  <si>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</si>
  <si>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</si>
  <si>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</si>
  <si>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</si>
  <si>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</si>
  <si>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</si>
  <si>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</si>
  <si>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</si>
  <si>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</si>
  <si>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</si>
  <si>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</si>
  <si>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</si>
  <si>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</si>
  <si>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</si>
  <si>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</si>
  <si>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</si>
  <si>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</si>
  <si>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</si>
  <si>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</si>
  <si>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</si>
  <si>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</si>
  <si>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</si>
  <si>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</si>
  <si>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</si>
  <si>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</si>
  <si>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</si>
  <si>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</si>
  <si>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</si>
  <si>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</si>
  <si>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</si>
  <si>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</si>
  <si>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</si>
  <si>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</si>
  <si>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</si>
  <si>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</si>
  <si>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</si>
  <si>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</si>
  <si>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</si>
  <si>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</si>
  <si>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</si>
  <si>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</si>
  <si>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</si>
  <si>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</si>
  <si>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</si>
  <si>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</si>
  <si>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</si>
  <si>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</si>
  <si>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</si>
  <si>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</si>
  <si>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</si>
  <si>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</si>
  <si>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</si>
  <si>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</si>
  <si>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</si>
  <si>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</si>
  <si>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</si>
  <si>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</si>
  <si>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</si>
  <si>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</si>
  <si>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</si>
  <si>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</si>
  <si>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</si>
  <si>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</si>
  <si>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</si>
  <si>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</si>
  <si>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</si>
  <si>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</si>
  <si>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</si>
  <si>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</si>
  <si>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</si>
  <si>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</si>
  <si>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</si>
  <si>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</si>
  <si>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</si>
  <si>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</si>
  <si>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</si>
  <si>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</si>
  <si>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</si>
  <si>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</si>
  <si>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</si>
  <si>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</si>
  <si>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</si>
  <si>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</si>
  <si>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</si>
  <si>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</si>
  <si>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</si>
  <si>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</si>
  <si>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</si>
  <si>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</si>
  <si>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</si>
  <si>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</si>
  <si>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</si>
  <si>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</si>
  <si>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</si>
  <si>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</si>
  <si>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</si>
  <si>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</si>
  <si>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</si>
  <si>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</si>
  <si>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</si>
  <si>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</si>
  <si>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</si>
  <si>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</si>
  <si>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</si>
  <si>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</si>
  <si>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</si>
  <si>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</si>
  <si>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</si>
  <si>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</si>
  <si>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</si>
  <si>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</si>
  <si>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</si>
  <si>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</si>
  <si>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</si>
  <si>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</si>
  <si>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</si>
  <si>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</si>
  <si>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</si>
  <si>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</si>
  <si>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</si>
  <si>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</si>
  <si>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</si>
  <si>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</si>
  <si>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</si>
  <si>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</si>
  <si>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</si>
  <si>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</si>
  <si>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</si>
  <si>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</si>
  <si>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</si>
  <si>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</si>
  <si>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</si>
  <si>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</si>
  <si>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</si>
  <si>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</si>
  <si>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</si>
  <si>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</si>
  <si>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</si>
  <si>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</si>
  <si>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</si>
  <si>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</si>
  <si>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</si>
  <si>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</si>
  <si>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</si>
  <si>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</si>
  <si>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</si>
  <si>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</si>
  <si>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</si>
  <si>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</si>
  <si>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</si>
  <si>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</si>
  <si>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</si>
  <si>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</si>
  <si>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</si>
  <si>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</si>
  <si>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</si>
  <si>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</si>
  <si>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</si>
  <si>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</si>
  <si>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</si>
  <si>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</si>
  <si>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</si>
  <si>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</si>
  <si>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</si>
  <si>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</si>
  <si>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</si>
  <si>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</si>
  <si>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</si>
  <si>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</si>
  <si>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</si>
  <si>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</si>
  <si>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</si>
  <si>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</si>
  <si>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</si>
  <si>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</si>
  <si>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</si>
  <si>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</si>
  <si>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</si>
  <si>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</si>
  <si>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</si>
  <si>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</si>
  <si>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</si>
  <si>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</si>
  <si>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</si>
  <si>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</si>
  <si>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</si>
  <si>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</si>
  <si>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</si>
  <si>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</si>
  <si>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</si>
  <si>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</si>
  <si>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</si>
  <si>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</si>
  <si>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</si>
  <si>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</si>
  <si>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</si>
  <si>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</si>
  <si>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</si>
  <si>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</si>
  <si>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</si>
  <si>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</si>
  <si>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</si>
  <si>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</si>
  <si>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</si>
  <si>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</si>
  <si>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</si>
  <si>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</si>
  <si>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</si>
  <si>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</si>
  <si>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</si>
  <si>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</si>
  <si>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</si>
  <si>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</si>
  <si>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</si>
  <si>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</si>
  <si>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</si>
  <si>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</si>
  <si>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</si>
  <si>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</si>
  <si>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</si>
  <si>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</si>
  <si>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</si>
  <si>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</si>
  <si>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</si>
  <si>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</si>
  <si>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</si>
  <si>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</si>
  <si>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</si>
  <si>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</si>
  <si>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</si>
  <si>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</si>
  <si>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</si>
  <si>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</si>
  <si>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</si>
  <si>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</si>
  <si>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</si>
  <si>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</si>
  <si>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</si>
  <si>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</si>
  <si>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</si>
  <si>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</si>
  <si>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</si>
  <si>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</si>
  <si>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</si>
  <si>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</si>
  <si>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</si>
  <si>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</si>
  <si>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</si>
  <si>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</si>
  <si>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</si>
  <si>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</si>
  <si>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</si>
  <si>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</si>
  <si>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</si>
  <si>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</si>
  <si>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</si>
  <si>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</si>
  <si>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</si>
  <si>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</si>
  <si>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</si>
  <si>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</si>
  <si>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</si>
  <si>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</si>
  <si>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</si>
  <si>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</si>
  <si>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</si>
  <si>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</si>
  <si>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</si>
  <si>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</si>
  <si>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</si>
  <si>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</si>
  <si>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</si>
  <si>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</si>
  <si>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</si>
  <si>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</si>
  <si>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</si>
  <si>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</si>
  <si>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</si>
  <si>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</si>
  <si>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</si>
  <si>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</si>
  <si>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</si>
  <si>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</si>
  <si>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</si>
  <si>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</si>
  <si>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</si>
  <si>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</si>
  <si>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</si>
  <si>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</si>
  <si>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</si>
  <si>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</si>
  <si>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</si>
  <si>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</si>
  <si>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</si>
  <si>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</si>
  <si>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</si>
  <si>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</si>
  <si>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</si>
  <si>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</si>
  <si>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</si>
  <si>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</si>
  <si>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</si>
  <si>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</si>
  <si>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</si>
  <si>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</si>
  <si>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</si>
  <si>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</si>
  <si>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</si>
  <si>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</si>
  <si>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</si>
  <si>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</si>
  <si>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</si>
  <si>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</si>
  <si>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</si>
  <si>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</si>
  <si>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</si>
  <si>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</si>
  <si>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</si>
  <si>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</si>
  <si>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</si>
  <si>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</si>
  <si>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</si>
  <si>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</si>
  <si>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</si>
  <si>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</si>
  <si>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</si>
  <si>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</si>
  <si>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</si>
  <si>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</si>
  <si>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</si>
  <si>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</si>
  <si>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</si>
  <si>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</si>
  <si>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</si>
  <si>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</si>
  <si>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</si>
  <si>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</si>
  <si>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</si>
  <si>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</si>
  <si>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</si>
  <si>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</si>
  <si>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</si>
  <si>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</si>
  <si>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</si>
  <si>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</si>
  <si>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</si>
  <si>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</si>
  <si>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</si>
  <si>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</si>
  <si>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</si>
  <si>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</si>
  <si>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</si>
  <si>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</si>
  <si>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</si>
  <si>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</si>
  <si>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</si>
  <si>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</si>
  <si>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</si>
  <si>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</si>
  <si>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</si>
  <si>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</si>
  <si>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</si>
  <si>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</si>
  <si>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</si>
  <si>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</si>
  <si>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</si>
  <si>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</si>
  <si>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</si>
  <si>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</si>
  <si>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</si>
  <si>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</si>
  <si>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</si>
  <si>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</si>
  <si>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</si>
  <si>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</si>
  <si>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</si>
  <si>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</si>
  <si>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</si>
  <si>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</si>
  <si>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</si>
  <si>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</si>
  <si>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</si>
  <si>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</si>
  <si>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</si>
  <si>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</si>
  <si>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</si>
  <si>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</si>
  <si>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</si>
  <si>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</si>
  <si>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</si>
  <si>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</si>
  <si>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</si>
  <si>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</si>
  <si>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</si>
  <si>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</si>
  <si>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</si>
  <si>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</si>
  <si>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</si>
  <si>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</si>
  <si>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</si>
  <si>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</si>
  <si>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</si>
  <si>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</si>
  <si>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</si>
  <si>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</si>
  <si>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</si>
  <si>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</si>
  <si>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</si>
  <si>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</si>
  <si>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</si>
  <si>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</si>
  <si>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</si>
  <si>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</si>
  <si>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</si>
  <si>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</si>
  <si>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</si>
  <si>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</si>
  <si>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</si>
  <si>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</si>
  <si>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</si>
  <si>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</si>
  <si>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</si>
  <si>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</si>
  <si>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</si>
  <si>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</si>
  <si>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</si>
  <si>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</si>
  <si>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</si>
  <si>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</si>
  <si>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</si>
  <si>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</si>
  <si>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</si>
  <si>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</si>
  <si>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</si>
  <si>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</si>
  <si>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</si>
  <si>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</si>
  <si>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</si>
  <si>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</si>
  <si>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</si>
  <si>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</si>
  <si>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</si>
  <si>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</si>
  <si>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</si>
  <si>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</si>
  <si>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</si>
  <si>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</si>
  <si>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</si>
  <si>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</si>
  <si>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</si>
  <si>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</si>
  <si>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</si>
  <si>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</si>
  <si>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</si>
  <si>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</si>
  <si>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</si>
  <si>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</si>
  <si>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</si>
  <si>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</si>
  <si>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</si>
  <si>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</si>
  <si>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</si>
  <si>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</si>
  <si>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</si>
  <si>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</si>
  <si>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</si>
  <si>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</si>
  <si>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</si>
  <si>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</si>
  <si>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</si>
  <si>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</si>
  <si>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</si>
  <si>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</si>
  <si>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</si>
  <si>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</si>
  <si>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</si>
  <si>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</si>
  <si>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</si>
  <si>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</si>
  <si>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</si>
  <si>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</si>
  <si>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</si>
  <si>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</si>
  <si>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</si>
  <si>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</si>
  <si>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</si>
  <si>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</si>
  <si>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</si>
  <si>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</si>
  <si>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</si>
  <si>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</si>
  <si>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</si>
  <si>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</si>
  <si>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</si>
  <si>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</si>
  <si>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</si>
  <si>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</si>
  <si>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</si>
  <si>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</si>
  <si>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</si>
  <si>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</si>
  <si>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</si>
  <si>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</si>
  <si>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</si>
  <si>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</si>
  <si>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</si>
  <si>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</si>
  <si>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</si>
  <si>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</si>
  <si>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</si>
  <si>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</si>
  <si>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</si>
  <si>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</si>
  <si>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</si>
  <si>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</si>
  <si>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</si>
  <si>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</si>
  <si>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</si>
  <si>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</si>
  <si>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</si>
  <si>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</si>
  <si>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</si>
  <si>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</si>
  <si>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</si>
  <si>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</si>
  <si>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</si>
  <si>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</si>
  <si>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</si>
  <si>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</si>
  <si>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</si>
  <si>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</si>
  <si>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</si>
  <si>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</si>
  <si>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</si>
  <si>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</si>
  <si>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</si>
  <si>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</si>
  <si>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</si>
  <si>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</si>
  <si>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</si>
  <si>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</si>
  <si>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</si>
  <si>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</si>
  <si>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</si>
  <si>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</si>
  <si>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</si>
  <si>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</si>
  <si>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</si>
  <si>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</si>
  <si>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</si>
  <si>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</si>
  <si>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</si>
  <si>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</si>
  <si>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</si>
  <si>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</si>
  <si>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</si>
  <si>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</si>
  <si>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</si>
  <si>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</si>
  <si>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</si>
  <si>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</si>
  <si>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</si>
  <si>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</si>
  <si>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</si>
  <si>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</si>
  <si>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</si>
  <si>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</si>
  <si>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</si>
  <si>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</si>
  <si>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</si>
  <si>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</si>
  <si>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</si>
  <si>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</si>
  <si>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</si>
  <si>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</si>
  <si>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</si>
  <si>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</si>
  <si>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</si>
  <si>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</si>
  <si>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</si>
  <si>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</si>
  <si>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</si>
  <si>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</si>
  <si>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</si>
  <si>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</si>
  <si>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</si>
  <si>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</si>
  <si>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</si>
  <si>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</si>
  <si>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</si>
  <si>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</si>
  <si>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</si>
  <si>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</si>
  <si>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</si>
  <si>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</si>
  <si>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</si>
  <si>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</si>
  <si>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</si>
  <si>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</si>
  <si>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</si>
  <si>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</si>
  <si>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</si>
  <si>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</si>
  <si>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</si>
  <si>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</si>
  <si>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</si>
  <si>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</si>
  <si>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</si>
  <si>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</si>
  <si>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</si>
  <si>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</si>
  <si>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</si>
  <si>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</si>
  <si>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</si>
  <si>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</si>
  <si>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</si>
  <si>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</si>
  <si>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</si>
  <si>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</si>
  <si>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</si>
  <si>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</si>
  <si>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</si>
  <si>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</si>
  <si>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</si>
  <si>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</si>
  <si>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</si>
  <si>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</si>
  <si>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</si>
  <si>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</si>
  <si>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</si>
  <si>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</si>
  <si>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</si>
  <si>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</si>
  <si>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</si>
  <si>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</si>
  <si>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</si>
  <si>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</si>
  <si>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</si>
  <si>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</si>
  <si>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</si>
  <si>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</si>
  <si>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</si>
  <si>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</si>
  <si>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</si>
  <si>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</si>
  <si>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</si>
  <si>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</si>
  <si>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</si>
  <si>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</si>
  <si>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</si>
  <si>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</si>
  <si>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</si>
  <si>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</si>
  <si>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</si>
  <si>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</si>
  <si>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</si>
  <si>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</si>
  <si>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</si>
  <si>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</si>
  <si>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</si>
  <si>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</si>
  <si>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</si>
  <si>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</si>
  <si>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</si>
  <si>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</si>
  <si>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</si>
  <si>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</si>
  <si>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</si>
  <si>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</si>
  <si>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</si>
  <si>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</si>
  <si>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</si>
  <si>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</si>
  <si>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</si>
  <si>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</si>
  <si>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</si>
  <si>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</si>
  <si>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</si>
  <si>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</si>
  <si>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</si>
  <si>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</si>
  <si>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</si>
  <si>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</si>
  <si>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</si>
  <si>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</si>
  <si>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</si>
  <si>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</si>
  <si>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</si>
  <si>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</si>
  <si>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</si>
  <si>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</si>
  <si>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</si>
  <si>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</si>
  <si>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</si>
  <si>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</si>
  <si>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</si>
  <si>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</si>
  <si>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</si>
  <si>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</si>
  <si>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</si>
  <si>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</si>
  <si>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</si>
  <si>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</si>
  <si>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</si>
  <si>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</si>
  <si>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</si>
  <si>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</si>
  <si>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</si>
  <si>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</si>
  <si>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</si>
  <si>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</si>
  <si>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</si>
  <si>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</si>
  <si>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</si>
  <si>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</si>
  <si>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</si>
  <si>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</si>
  <si>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</si>
  <si>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</si>
  <si>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</si>
  <si>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</si>
  <si>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</si>
  <si>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</si>
  <si>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</si>
  <si>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</si>
  <si>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</si>
  <si>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</si>
  <si>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</si>
  <si>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</si>
  <si>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</si>
  <si>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</si>
  <si>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</si>
  <si>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</si>
  <si>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</si>
  <si>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</si>
  <si>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</si>
  <si>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</si>
  <si>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</si>
  <si>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</si>
  <si>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</si>
  <si>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</si>
  <si>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</si>
  <si>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</si>
  <si>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</si>
  <si>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</si>
  <si>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</si>
  <si>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</si>
  <si>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</si>
  <si>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</si>
  <si>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</si>
  <si>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</si>
  <si>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</si>
  <si>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</si>
  <si>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</si>
  <si>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</si>
  <si>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</si>
  <si>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</si>
  <si>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</si>
  <si>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</si>
  <si>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</si>
  <si>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</si>
  <si>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</si>
  <si>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</si>
  <si>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</si>
  <si>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</si>
  <si>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</si>
  <si>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</si>
  <si>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</si>
  <si>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</si>
  <si>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</si>
  <si>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</si>
  <si>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</si>
  <si>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</si>
  <si>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</si>
  <si>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</si>
  <si>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</si>
  <si>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</si>
  <si>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</si>
  <si>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</si>
  <si>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</si>
  <si>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</si>
  <si>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</si>
  <si>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</si>
  <si>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</si>
  <si>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</si>
  <si>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</si>
  <si>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</si>
  <si>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</si>
  <si>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</si>
  <si>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</si>
  <si>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</si>
  <si>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</si>
  <si>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</si>
  <si>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</si>
  <si>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</si>
  <si>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</si>
  <si>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</si>
  <si>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</si>
  <si>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</si>
  <si>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</si>
  <si>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</si>
  <si>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</si>
  <si>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</si>
  <si>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</si>
  <si>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</si>
  <si>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</si>
  <si>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</si>
  <si>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</si>
  <si>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</si>
  <si>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</si>
  <si>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</si>
  <si>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</si>
  <si>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</si>
  <si>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</si>
  <si>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</si>
  <si>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</si>
  <si>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</si>
  <si>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</si>
  <si>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</si>
  <si>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</si>
  <si>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</si>
  <si>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</si>
  <si>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</si>
  <si>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</si>
  <si>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</si>
  <si>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</si>
  <si>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</si>
  <si>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</si>
  <si>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</si>
  <si>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</si>
  <si>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</si>
  <si>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</si>
  <si>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</si>
  <si>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</si>
  <si>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</si>
  <si>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</si>
  <si>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</si>
  <si>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</si>
  <si>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</si>
  <si>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</si>
  <si>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</si>
  <si>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</si>
  <si>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</si>
  <si>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</si>
  <si>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</si>
  <si>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</si>
  <si>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</si>
  <si>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</si>
  <si>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</si>
  <si>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</si>
  <si>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</si>
  <si>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</si>
  <si>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</si>
  <si>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</si>
  <si>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</si>
  <si>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</si>
  <si>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</si>
  <si>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</si>
  <si>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</si>
  <si>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</si>
  <si>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</si>
  <si>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</si>
  <si>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</si>
  <si>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</si>
  <si>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</si>
  <si>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</si>
  <si>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</si>
  <si>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</si>
  <si>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</si>
  <si>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</si>
  <si>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</si>
  <si>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</si>
  <si>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</si>
  <si>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</si>
  <si>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</si>
  <si>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</si>
  <si>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</si>
  <si>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</si>
  <si>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</si>
  <si>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</si>
  <si>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</si>
  <si>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</si>
  <si>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</si>
  <si>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</si>
  <si>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</si>
  <si>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</si>
  <si>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</si>
  <si>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</si>
  <si>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</si>
  <si>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</si>
  <si>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</si>
  <si>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</si>
  <si>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</si>
  <si>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</si>
  <si>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</si>
  <si>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</si>
  <si>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</si>
  <si>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</si>
  <si>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</si>
  <si>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</si>
  <si>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</si>
  <si>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</si>
  <si>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</si>
  <si>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</si>
  <si>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</si>
  <si>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</si>
  <si>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</si>
  <si>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</si>
  <si>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</si>
  <si>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</si>
  <si>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</si>
  <si>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</si>
  <si>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</si>
  <si>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</si>
  <si>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</si>
  <si>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</si>
  <si>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</si>
  <si>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</si>
  <si>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</si>
  <si>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</si>
  <si>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</si>
  <si>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</si>
  <si>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</si>
  <si>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</si>
  <si>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</si>
  <si>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</si>
  <si>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</si>
  <si>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</si>
  <si>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</si>
  <si>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</si>
  <si>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</si>
  <si>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</si>
  <si>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</si>
  <si>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</si>
  <si>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</si>
  <si>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</si>
  <si>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</si>
  <si>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</si>
  <si>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</si>
  <si>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</si>
  <si>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</si>
  <si>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</si>
  <si>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</si>
  <si>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</si>
  <si>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</si>
  <si>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</si>
  <si>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</si>
  <si>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</si>
  <si>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</si>
  <si>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</si>
  <si>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</si>
  <si>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</si>
  <si>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</si>
  <si>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</si>
  <si>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</si>
  <si>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</si>
  <si>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</si>
  <si>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</si>
  <si>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</si>
  <si>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</si>
  <si>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</si>
  <si>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</si>
  <si>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</si>
  <si>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</si>
  <si>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</si>
  <si>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</si>
  <si>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</si>
  <si>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</si>
  <si>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</si>
  <si>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</si>
  <si>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</si>
  <si>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</si>
  <si>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</si>
  <si>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</si>
  <si>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</si>
  <si>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</si>
  <si>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</si>
  <si>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</si>
  <si>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</si>
  <si>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</si>
  <si>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</si>
  <si>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</si>
  <si>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</si>
  <si>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</si>
  <si>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</si>
  <si>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</si>
  <si>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</si>
  <si>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</si>
  <si>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</si>
  <si>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</si>
  <si>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</si>
  <si>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</si>
  <si>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</si>
  <si>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</si>
  <si>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</si>
  <si>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</si>
  <si>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</si>
  <si>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</si>
  <si>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</si>
  <si>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</si>
  <si>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</si>
  <si>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</si>
  <si>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</si>
  <si>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</si>
  <si>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</si>
  <si>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</si>
  <si>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</si>
  <si>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</si>
  <si>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</si>
  <si>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</si>
  <si>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</si>
  <si>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</si>
  <si>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</si>
  <si>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</si>
  <si>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</si>
  <si>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</si>
  <si>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</si>
  <si>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</si>
  <si>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</si>
  <si>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</si>
  <si>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</si>
  <si>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</si>
  <si>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</si>
  <si>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</si>
  <si>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</si>
  <si>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</si>
  <si>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</si>
  <si>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</si>
  <si>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</si>
  <si>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</si>
  <si>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</si>
  <si>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</si>
  <si>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</si>
  <si>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</si>
  <si>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</si>
  <si>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</si>
  <si>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</si>
  <si>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</si>
  <si>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</si>
  <si>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</si>
  <si>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</si>
  <si>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</si>
  <si>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</si>
  <si>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</si>
  <si>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</si>
  <si>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</si>
  <si>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</si>
  <si>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</si>
  <si>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</si>
  <si>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</si>
  <si>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</si>
  <si>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</si>
  <si>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</si>
  <si>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</si>
  <si>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</si>
  <si>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</si>
  <si>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</si>
  <si>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</si>
  <si>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</si>
  <si>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</si>
  <si>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</si>
  <si>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</si>
  <si>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</si>
  <si>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</si>
  <si>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</si>
  <si>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</si>
  <si>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</si>
  <si>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</si>
  <si>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</si>
  <si>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</si>
  <si>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</si>
  <si>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</si>
  <si>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</si>
  <si>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</si>
  <si>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</si>
  <si>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</si>
  <si>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</si>
  <si>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</si>
  <si>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</si>
  <si>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</si>
  <si>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</si>
  <si>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</si>
  <si>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</si>
  <si>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</si>
  <si>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</si>
  <si>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</si>
  <si>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</si>
  <si>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</si>
  <si>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</si>
  <si>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</si>
  <si>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</si>
  <si>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</si>
  <si>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</si>
  <si>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</si>
  <si>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</si>
  <si>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</si>
  <si>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</si>
  <si>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</si>
  <si>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</si>
  <si>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</si>
  <si>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</si>
  <si>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</si>
  <si>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</si>
  <si>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</si>
  <si>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</si>
  <si>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</si>
  <si>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</si>
  <si>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</si>
  <si>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</si>
  <si>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</si>
  <si>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</si>
  <si>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</si>
  <si>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</si>
  <si>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</si>
  <si>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</si>
  <si>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</si>
  <si>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</si>
  <si>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</si>
  <si>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</si>
  <si>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</si>
  <si>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</si>
  <si>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</si>
  <si>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</si>
  <si>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</si>
  <si>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</si>
  <si>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</si>
  <si>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</si>
  <si>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</si>
  <si>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</si>
  <si>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</si>
  <si>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</si>
  <si>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</si>
  <si>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</si>
  <si>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</si>
  <si>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</si>
  <si>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</si>
  <si>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</si>
  <si>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</si>
  <si>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</si>
  <si>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</si>
  <si>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</si>
  <si>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</si>
  <si>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</si>
  <si>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</si>
  <si>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</si>
  <si>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</si>
  <si>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</si>
  <si>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</si>
  <si>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</si>
  <si>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</si>
  <si>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</si>
  <si>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</si>
  <si>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</si>
  <si>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</si>
  <si>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</si>
  <si>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</si>
  <si>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</si>
  <si>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</si>
  <si>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</si>
  <si>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</si>
  <si>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</si>
  <si>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</si>
  <si>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</si>
  <si>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</si>
  <si>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</si>
  <si>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</si>
  <si>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</si>
  <si>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</si>
  <si>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</si>
  <si>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</si>
  <si>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</si>
  <si>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</si>
  <si>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</si>
  <si>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</si>
  <si>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</si>
  <si>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</si>
  <si>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</si>
  <si>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</si>
  <si>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</si>
  <si>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</si>
  <si>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</si>
  <si>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</si>
  <si>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</si>
  <si>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</si>
  <si>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</si>
  <si>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</si>
  <si>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</si>
  <si>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</si>
  <si>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</si>
  <si>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</si>
  <si>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</si>
  <si>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</si>
  <si>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</si>
  <si>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</si>
  <si>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</si>
  <si>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</si>
  <si>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</si>
  <si>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</si>
  <si>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</si>
  <si>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</si>
  <si>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</si>
  <si>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</si>
  <si>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</si>
  <si>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</si>
  <si>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</si>
  <si>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</si>
  <si>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</si>
  <si>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</si>
  <si>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</si>
  <si>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</si>
  <si>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</si>
  <si>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</si>
  <si>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</si>
  <si>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</si>
  <si>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</si>
  <si>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</si>
  <si>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</si>
  <si>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</si>
  <si>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</si>
  <si>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</si>
  <si>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</si>
  <si>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</si>
  <si>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</si>
  <si>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</si>
  <si>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</si>
  <si>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</si>
  <si>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</si>
  <si>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</si>
  <si>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</si>
  <si>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</si>
  <si>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</si>
  <si>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</si>
  <si>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</si>
  <si>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</si>
  <si>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</si>
  <si>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</si>
  <si>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</si>
  <si>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</si>
  <si>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</si>
  <si>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</si>
  <si>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</si>
  <si>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</si>
  <si>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</si>
  <si>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</si>
  <si>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</si>
  <si>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</si>
  <si>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</si>
  <si>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</si>
  <si>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</si>
  <si>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</si>
  <si>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</si>
  <si>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</si>
  <si>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</si>
  <si>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</si>
  <si>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</si>
  <si>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</si>
  <si>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</si>
  <si>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</si>
  <si>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</si>
  <si>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</si>
  <si>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</si>
  <si>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</si>
  <si>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</si>
  <si>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</si>
  <si>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</si>
  <si>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</si>
  <si>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</si>
  <si>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</si>
  <si>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</si>
  <si>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</si>
  <si>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</si>
  <si>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</si>
  <si>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</si>
  <si>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</si>
  <si>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</si>
  <si>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</si>
  <si>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</si>
  <si>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</si>
  <si>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</si>
  <si>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</si>
  <si>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</si>
  <si>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</si>
  <si>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</si>
  <si>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</si>
  <si>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</si>
  <si>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</si>
  <si>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</si>
  <si>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</si>
  <si>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</si>
  <si>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</si>
  <si>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</si>
  <si>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</si>
  <si>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</si>
  <si>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</si>
  <si>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</si>
  <si>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</si>
  <si>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</si>
  <si>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</si>
  <si>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</si>
  <si>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</si>
  <si>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</si>
  <si>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</si>
  <si>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</si>
  <si>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</si>
  <si>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</si>
  <si>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</si>
  <si>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</si>
  <si>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</si>
  <si>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</si>
  <si>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</si>
  <si>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</si>
  <si>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</si>
  <si>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</si>
  <si>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</si>
  <si>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</si>
  <si>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</si>
  <si>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</si>
  <si>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</si>
  <si>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</si>
  <si>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</si>
  <si>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</si>
  <si>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</si>
  <si>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</si>
  <si>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</si>
  <si>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</si>
  <si>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</si>
  <si>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</si>
  <si>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</si>
  <si>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</si>
  <si>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</si>
  <si>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</si>
  <si>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</si>
  <si>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</si>
  <si>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</si>
  <si>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</si>
  <si>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</si>
  <si>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</si>
  <si>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</si>
  <si>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</si>
  <si>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</si>
  <si>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</si>
  <si>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</si>
  <si>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</si>
  <si>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</si>
  <si>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</si>
  <si>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</si>
  <si>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</si>
  <si>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</si>
  <si>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</si>
  <si>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</si>
  <si>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</si>
  <si>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</si>
  <si>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</si>
  <si>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</si>
  <si>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</si>
  <si>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</si>
  <si>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</si>
  <si>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</si>
  <si>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</si>
  <si>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</si>
  <si>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</si>
  <si>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</si>
  <si>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</si>
  <si>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</si>
  <si>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</si>
  <si>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</si>
  <si>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</si>
  <si>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</si>
  <si>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</si>
  <si>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</si>
  <si>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</si>
  <si>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</si>
  <si>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</si>
  <si>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</si>
  <si>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</si>
  <si>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</si>
  <si>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</si>
  <si>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</si>
  <si>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</si>
  <si>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</si>
  <si>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</si>
  <si>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</si>
  <si>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</si>
  <si>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</si>
  <si>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</si>
  <si>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</si>
  <si>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</si>
  <si>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</si>
  <si>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</si>
  <si>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</si>
  <si>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</si>
  <si>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</si>
  <si>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</si>
  <si>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</si>
  <si>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</si>
  <si>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</si>
  <si>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</si>
  <si>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</si>
  <si>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</si>
  <si>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</si>
  <si>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</si>
  <si>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</si>
  <si>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</si>
  <si>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</si>
  <si>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</si>
  <si>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</si>
  <si>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</si>
  <si>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</si>
  <si>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</si>
  <si>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</si>
  <si>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</si>
  <si>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</si>
  <si>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</si>
  <si>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</si>
  <si>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</si>
  <si>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</si>
  <si>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</si>
  <si>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</si>
  <si>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</si>
  <si>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</si>
  <si>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</si>
  <si>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</si>
  <si>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</si>
  <si>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</si>
  <si>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</si>
  <si>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</si>
  <si>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</si>
  <si>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</si>
  <si>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</si>
  <si>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</si>
  <si>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</si>
  <si>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</si>
  <si>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</si>
  <si>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</si>
  <si>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</si>
  <si>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</si>
  <si>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</si>
  <si>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</si>
  <si>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</si>
  <si>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</si>
  <si>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</si>
  <si>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</si>
  <si>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</si>
  <si>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</si>
  <si>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</si>
  <si>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</si>
  <si>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</si>
  <si>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</si>
  <si>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</si>
  <si>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</si>
  <si>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</si>
  <si>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</si>
  <si>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</si>
  <si>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</si>
  <si>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</si>
  <si>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</si>
  <si>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</si>
  <si>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</si>
  <si>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</si>
  <si>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</si>
  <si>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</si>
  <si>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</si>
  <si>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</si>
  <si>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</si>
  <si>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</si>
  <si>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</si>
  <si>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</si>
  <si>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</si>
  <si>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</si>
  <si>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</si>
  <si>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</si>
  <si>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</si>
  <si>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</si>
  <si>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</si>
  <si>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</si>
  <si>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</si>
  <si>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</si>
  <si>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</si>
  <si>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</si>
  <si>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</si>
  <si>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</si>
  <si>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</si>
  <si>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</si>
  <si>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</si>
  <si>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</si>
  <si>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</si>
  <si>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</si>
  <si>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</si>
  <si>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</si>
  <si>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</si>
  <si>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</si>
  <si>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</si>
  <si>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</si>
  <si>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</si>
  <si>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</si>
  <si>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</si>
  <si>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</si>
  <si>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</si>
  <si>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</si>
  <si>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</si>
  <si>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</si>
  <si>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</si>
  <si>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</si>
  <si>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</si>
  <si>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</si>
  <si>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</si>
  <si>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</si>
  <si>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</si>
  <si>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</si>
  <si>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</si>
  <si>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</si>
  <si>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</si>
  <si>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</si>
  <si>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</si>
  <si>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</si>
  <si>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</si>
  <si>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</si>
  <si>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</si>
  <si>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</si>
  <si>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</si>
  <si>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</si>
  <si>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</si>
  <si>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</si>
  <si>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</si>
  <si>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</si>
  <si>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</si>
  <si>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</si>
  <si>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</si>
  <si>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</si>
  <si>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</si>
  <si>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</si>
  <si>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</si>
  <si>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</si>
  <si>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</si>
  <si>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</si>
  <si>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</si>
  <si>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</si>
  <si>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</si>
  <si>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</si>
  <si>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</si>
  <si>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</si>
  <si>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</si>
  <si>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</si>
  <si>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</si>
  <si>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</si>
  <si>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</si>
  <si>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</si>
  <si>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</si>
  <si>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</si>
  <si>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</si>
  <si>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</si>
  <si>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</si>
  <si>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</si>
  <si>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</si>
  <si>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</si>
  <si>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</si>
  <si>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</si>
  <si>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</si>
  <si>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</si>
  <si>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</si>
  <si>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</si>
  <si>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</si>
  <si>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</si>
  <si>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</si>
  <si>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</si>
  <si>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</si>
  <si>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</si>
  <si>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</si>
  <si>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</si>
  <si>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</si>
  <si>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</si>
  <si>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</si>
  <si>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</si>
  <si>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</si>
  <si>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</si>
  <si>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</si>
  <si>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</si>
  <si>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</si>
  <si>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</si>
  <si>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</si>
  <si>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</si>
  <si>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</si>
  <si>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</si>
  <si>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</si>
  <si>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</si>
  <si>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</si>
  <si>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</si>
  <si>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</si>
  <si>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</si>
  <si>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</si>
  <si>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</si>
  <si>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</si>
  <si>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</si>
  <si>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</si>
  <si>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</si>
  <si>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</si>
  <si>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</si>
  <si>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</si>
  <si>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</si>
  <si>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</si>
  <si>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</si>
  <si>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</si>
  <si>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</si>
  <si>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</si>
  <si>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</si>
  <si>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</si>
  <si>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</si>
  <si>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</si>
  <si>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</si>
  <si>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</si>
  <si>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</si>
  <si>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</si>
  <si>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</si>
  <si>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</si>
  <si>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</si>
  <si>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</si>
  <si>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</si>
  <si>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</si>
  <si>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</si>
  <si>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</si>
  <si>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</si>
  <si>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</si>
  <si>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</si>
  <si>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</si>
  <si>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</si>
  <si>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</si>
  <si>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</si>
  <si>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</si>
  <si>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</si>
  <si>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</si>
  <si>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</si>
  <si>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</si>
  <si>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</si>
  <si>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</si>
  <si>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</si>
  <si>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</si>
  <si>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</si>
  <si>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</si>
  <si>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</si>
  <si>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</si>
  <si>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</si>
  <si>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</si>
  <si>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</si>
  <si>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</si>
  <si>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</si>
  <si>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</si>
  <si>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</si>
  <si>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</si>
  <si>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</si>
  <si>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</si>
  <si>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</si>
  <si>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</si>
  <si>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</si>
  <si>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</si>
  <si>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</si>
  <si>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</si>
  <si>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</si>
  <si>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</si>
  <si>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</si>
  <si>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</si>
  <si>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</si>
  <si>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</si>
  <si>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</si>
  <si>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</si>
  <si>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</si>
  <si>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</si>
  <si>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</si>
  <si>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</si>
  <si>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</si>
  <si>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</si>
  <si>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</si>
  <si>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</si>
  <si>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</si>
  <si>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</si>
  <si>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</si>
  <si>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</si>
  <si>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</si>
  <si>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</si>
  <si>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</si>
  <si>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</si>
  <si>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</si>
  <si>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</si>
  <si>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</si>
  <si>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</si>
  <si>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</si>
  <si>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</si>
  <si>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</si>
  <si>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</si>
  <si>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</si>
  <si>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</si>
  <si>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</si>
  <si>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</si>
  <si>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</si>
  <si>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</si>
  <si>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</si>
  <si>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</si>
  <si>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</si>
  <si>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</si>
  <si>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</si>
  <si>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</si>
  <si>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</si>
  <si>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</si>
  <si>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</si>
  <si>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</si>
  <si>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</si>
  <si>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</si>
  <si>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</si>
  <si>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</si>
  <si>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</si>
  <si>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</si>
  <si>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</si>
  <si>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</si>
  <si>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</si>
  <si>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</si>
  <si>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</si>
  <si>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</si>
  <si>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</si>
  <si>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</si>
  <si>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</si>
  <si>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</si>
  <si>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</si>
  <si>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</si>
  <si>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</si>
  <si>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</si>
  <si>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</si>
  <si>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</si>
  <si>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</si>
  <si>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</si>
  <si>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</si>
  <si>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</si>
  <si>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</si>
  <si>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</si>
  <si>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</si>
  <si>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</si>
  <si>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</si>
  <si>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</si>
  <si>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</si>
  <si>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</si>
  <si>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</si>
  <si>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</si>
  <si>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</si>
  <si>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</si>
  <si>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</si>
  <si>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</si>
  <si>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</si>
  <si>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</si>
  <si>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</si>
  <si>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</si>
  <si>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</si>
  <si>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</si>
  <si>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</si>
  <si>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</si>
  <si>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</si>
  <si>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</si>
  <si>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</si>
  <si>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</si>
  <si>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</si>
  <si>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</si>
  <si>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</si>
  <si>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</si>
  <si>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</si>
  <si>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</si>
  <si>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</si>
  <si>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</si>
  <si>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</si>
  <si>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</si>
  <si>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</si>
  <si>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</si>
  <si>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</si>
  <si>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</si>
  <si>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</si>
  <si>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</si>
  <si>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</si>
  <si>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</si>
  <si>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</si>
  <si>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</si>
  <si>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</si>
  <si>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</si>
  <si>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</si>
  <si>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</si>
  <si>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</si>
  <si>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</si>
  <si>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</si>
  <si>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</si>
  <si>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</si>
  <si>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</si>
  <si>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</si>
  <si>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</si>
  <si>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</si>
  <si>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</si>
  <si>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</si>
  <si>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</si>
  <si>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</si>
  <si>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</si>
  <si>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</si>
  <si>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</si>
  <si>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</si>
  <si>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</si>
  <si>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</si>
  <si>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</si>
  <si>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</si>
  <si>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</si>
  <si>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</si>
  <si>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</si>
  <si>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</si>
  <si>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</si>
  <si>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</si>
  <si>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</si>
  <si>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</si>
  <si>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</si>
  <si>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</si>
  <si>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</si>
  <si>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</si>
  <si>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</si>
  <si>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</si>
  <si>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</si>
  <si>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</si>
  <si>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</si>
  <si>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</si>
  <si>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</si>
  <si>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</si>
  <si>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</si>
  <si>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</si>
  <si>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</si>
  <si>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</si>
  <si>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</si>
  <si>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</si>
  <si>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</si>
  <si>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</si>
  <si>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</si>
  <si>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</si>
  <si>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</si>
  <si>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</si>
  <si>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</si>
  <si>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</si>
  <si>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</si>
  <si>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</si>
  <si>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</si>
  <si>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</si>
  <si>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</si>
  <si>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</si>
  <si>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</si>
  <si>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</si>
  <si>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</si>
  <si>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</si>
  <si>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</si>
  <si>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</si>
  <si>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</si>
  <si>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</si>
  <si>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</si>
  <si>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</si>
  <si>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</si>
  <si>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</si>
  <si>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</si>
  <si>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</si>
  <si>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</si>
  <si>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</si>
  <si>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</si>
  <si>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</si>
  <si>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</si>
  <si>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</si>
  <si>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</si>
  <si>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</si>
  <si>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</si>
  <si>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</si>
  <si>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</si>
  <si>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</si>
  <si>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</si>
  <si>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</si>
  <si>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</si>
  <si>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</si>
  <si>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</si>
  <si>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</si>
  <si>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</si>
  <si>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</si>
  <si>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</si>
  <si>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</si>
  <si>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</si>
  <si>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</si>
  <si>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</si>
  <si>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</si>
  <si>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</si>
  <si>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</si>
  <si>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</si>
  <si>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</si>
  <si>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</si>
  <si>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</si>
  <si>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</si>
  <si>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</si>
  <si>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</si>
  <si>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</si>
  <si>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</si>
  <si>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</si>
  <si>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</si>
  <si>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</si>
  <si>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</si>
  <si>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</si>
  <si>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</si>
  <si>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</si>
  <si>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</si>
  <si>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</si>
  <si>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</si>
  <si>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</si>
  <si>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</si>
  <si>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</si>
  <si>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</si>
  <si>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</si>
  <si>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</si>
  <si>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</si>
  <si>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</si>
  <si>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</si>
  <si>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</si>
  <si>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</si>
  <si>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</si>
  <si>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</si>
  <si>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</si>
  <si>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</si>
  <si>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</si>
  <si>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</si>
  <si>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</si>
  <si>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</si>
  <si>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</si>
  <si>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</si>
  <si>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</si>
  <si>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</si>
  <si>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</si>
  <si>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</si>
  <si>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</si>
  <si>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</si>
  <si>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</si>
  <si>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</si>
  <si>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</si>
  <si>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</si>
  <si>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</si>
  <si>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</si>
  <si>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</si>
  <si>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</si>
  <si>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</si>
  <si>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</si>
  <si>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</si>
  <si>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</si>
  <si>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</si>
  <si>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</si>
  <si>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</si>
  <si>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</si>
  <si>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</si>
  <si>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</si>
  <si>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</si>
  <si>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</si>
  <si>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</si>
  <si>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</si>
  <si>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</si>
  <si>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</si>
  <si>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</si>
  <si>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</si>
  <si>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</si>
  <si>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</si>
  <si>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</si>
  <si>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</si>
  <si>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</si>
  <si>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</si>
  <si>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</si>
  <si>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</si>
  <si>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</si>
  <si>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</si>
  <si>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</si>
  <si>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</si>
  <si>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</si>
  <si>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</si>
  <si>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</si>
  <si>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</si>
  <si>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</si>
  <si>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</si>
  <si>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</si>
  <si>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</si>
  <si>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</si>
  <si>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</si>
  <si>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</si>
  <si>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</si>
  <si>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</si>
  <si>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</si>
  <si>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</si>
  <si>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</si>
  <si>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</si>
  <si>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</si>
  <si>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</si>
  <si>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</si>
  <si>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</si>
  <si>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</si>
  <si>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</si>
  <si>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</si>
  <si>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</si>
  <si>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</si>
  <si>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</si>
  <si>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</si>
  <si>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</si>
  <si>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</si>
  <si>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</si>
  <si>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</si>
  <si>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</si>
  <si>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</si>
  <si>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</si>
  <si>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</si>
  <si>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</si>
  <si>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</si>
  <si>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</si>
  <si>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</si>
  <si>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</si>
  <si>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</si>
  <si>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</si>
  <si>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</si>
  <si>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</si>
  <si>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</si>
  <si>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</si>
  <si>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</si>
  <si>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</si>
  <si>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</si>
  <si>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</si>
  <si>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</si>
  <si>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</si>
  <si>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</si>
  <si>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</si>
  <si>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</si>
  <si>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</si>
  <si>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</si>
  <si>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</si>
  <si>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</si>
  <si>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</si>
  <si>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</si>
  <si>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</si>
  <si>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</si>
  <si>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</si>
  <si>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</si>
  <si>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</si>
  <si>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</si>
  <si>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</si>
  <si>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</si>
  <si>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</si>
  <si>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</si>
  <si>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</si>
  <si>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</si>
  <si>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</si>
  <si>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</si>
  <si>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</si>
  <si>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</si>
  <si>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</si>
  <si>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</si>
  <si>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</si>
  <si>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</si>
  <si>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</si>
  <si>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</si>
  <si>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</si>
  <si>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</si>
  <si>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</si>
  <si>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</si>
  <si>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</si>
  <si>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</si>
  <si>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</si>
  <si>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</si>
  <si>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</si>
  <si>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</si>
  <si>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</si>
  <si>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</si>
  <si>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</si>
  <si>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</si>
  <si>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</si>
  <si>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</si>
  <si>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</si>
  <si>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</si>
  <si>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</si>
  <si>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</si>
  <si>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</si>
  <si>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</si>
  <si>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</si>
  <si>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</si>
  <si>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</si>
  <si>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</si>
  <si>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</si>
  <si>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</si>
  <si>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</si>
  <si>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</si>
  <si>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</si>
  <si>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</si>
  <si>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</si>
  <si>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</si>
  <si>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</si>
  <si>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</si>
  <si>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</si>
  <si>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</si>
  <si>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</si>
  <si>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</si>
  <si>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</si>
  <si>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</si>
  <si>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</si>
  <si>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</si>
  <si>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</si>
  <si>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</si>
  <si>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</si>
  <si>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</si>
  <si>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</si>
  <si>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</si>
  <si>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</si>
  <si>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</si>
  <si>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</si>
  <si>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</si>
  <si>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</si>
  <si>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</si>
  <si>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</si>
  <si>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</si>
  <si>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</si>
  <si>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</si>
  <si>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</si>
  <si>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</si>
  <si>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</si>
  <si>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</si>
  <si>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</si>
  <si>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</si>
  <si>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</si>
  <si>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</si>
  <si>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</si>
  <si>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</si>
  <si>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</si>
  <si>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</si>
  <si>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</si>
  <si>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</si>
  <si>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</si>
  <si>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</si>
  <si>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</si>
  <si>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</si>
  <si>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</si>
  <si>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</si>
  <si>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</si>
  <si>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</si>
  <si>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</si>
  <si>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</si>
  <si>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</si>
  <si>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</si>
  <si>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</si>
  <si>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</si>
  <si>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</si>
  <si>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</si>
  <si>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</si>
  <si>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</si>
  <si>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</si>
  <si>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</si>
  <si>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</si>
  <si>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</si>
  <si>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</si>
  <si>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</si>
  <si>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</si>
  <si>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</si>
  <si>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</si>
  <si>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</si>
  <si>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</si>
  <si>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</si>
  <si>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</si>
  <si>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</si>
  <si>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</si>
  <si>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</si>
  <si>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</si>
  <si>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</si>
  <si>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</si>
  <si>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</si>
  <si>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</si>
  <si>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</si>
  <si>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</si>
  <si>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</si>
  <si>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</si>
  <si>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</si>
  <si>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</si>
  <si>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</si>
  <si>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</si>
  <si>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</si>
  <si>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</si>
  <si>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</si>
  <si>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</si>
  <si>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</si>
  <si>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</si>
  <si>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</si>
  <si>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</si>
  <si>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</si>
  <si>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</si>
  <si>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</si>
  <si>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</si>
  <si>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</si>
  <si>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</si>
  <si>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</si>
  <si>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</si>
  <si>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</si>
  <si>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</si>
  <si>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</si>
  <si>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</si>
  <si>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</si>
  <si>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</si>
  <si>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</si>
  <si>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</si>
  <si>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</si>
  <si>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</si>
  <si>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</si>
  <si>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</si>
  <si>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</si>
  <si>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</si>
  <si>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</si>
  <si>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</si>
  <si>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</si>
  <si>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</si>
  <si>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</si>
  <si>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</si>
  <si>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</si>
  <si>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</si>
  <si>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</si>
  <si>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</si>
  <si>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</si>
  <si>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</si>
  <si>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</si>
  <si>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</si>
  <si>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</si>
  <si>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</si>
  <si>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</si>
  <si>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</si>
  <si>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</si>
  <si>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</si>
  <si>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</si>
  <si>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</si>
  <si>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</si>
  <si>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</si>
  <si>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</si>
  <si>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</si>
  <si>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</si>
  <si>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</si>
  <si>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</si>
  <si>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</si>
  <si>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</si>
  <si>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</si>
  <si>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</si>
  <si>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</si>
  <si>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</si>
  <si>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</si>
  <si>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</si>
  <si>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</si>
  <si>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</si>
  <si>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</si>
  <si>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</si>
  <si>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</si>
  <si>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</si>
  <si>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</si>
  <si>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</si>
  <si>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</si>
  <si>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</si>
  <si>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</si>
  <si>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</si>
  <si>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</si>
  <si>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</si>
  <si>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</si>
  <si>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</si>
  <si>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</si>
  <si>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</si>
  <si>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</si>
  <si>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</si>
  <si>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</si>
  <si>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</si>
  <si>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</si>
  <si>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</si>
  <si>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</si>
  <si>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</si>
  <si>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</si>
  <si>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</si>
  <si>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</si>
  <si>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</si>
  <si>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</si>
  <si>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</si>
  <si>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</si>
  <si>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</si>
  <si>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</si>
  <si>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</si>
  <si>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</si>
  <si>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</si>
  <si>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</si>
  <si>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</si>
  <si>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</si>
  <si>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</si>
  <si>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</si>
  <si>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</si>
  <si>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</si>
  <si>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</si>
  <si>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</si>
  <si>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</si>
  <si>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</si>
  <si>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</si>
  <si>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</si>
  <si>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</si>
  <si>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</si>
  <si>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</si>
  <si>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</si>
  <si>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</si>
  <si>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</si>
  <si>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</si>
  <si>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</si>
  <si>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</si>
  <si>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</si>
  <si>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</si>
  <si>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</si>
  <si>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</si>
  <si>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</si>
  <si>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</si>
  <si>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</si>
  <si>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</si>
  <si>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</si>
  <si>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</si>
  <si>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</si>
  <si>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</si>
  <si>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</si>
  <si>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</si>
  <si>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</si>
  <si>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</si>
  <si>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</si>
  <si>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</si>
  <si>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</si>
  <si>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</si>
  <si>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</si>
  <si>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</si>
  <si>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</si>
  <si>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</si>
  <si>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</si>
  <si>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</si>
  <si>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</si>
  <si>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</si>
  <si>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</si>
  <si>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</si>
  <si>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</si>
  <si>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</si>
  <si>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</si>
  <si>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</si>
  <si>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</si>
  <si>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</si>
  <si>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</si>
  <si>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</si>
  <si>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</si>
  <si>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</si>
  <si>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</si>
  <si>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</si>
  <si>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</si>
  <si>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</si>
  <si>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</si>
  <si>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</si>
  <si>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</si>
  <si>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</si>
  <si>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</si>
  <si>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</si>
  <si>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</si>
  <si>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</si>
  <si>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</si>
  <si>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</si>
  <si>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</si>
  <si>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</si>
  <si>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</si>
  <si>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</si>
  <si>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</si>
  <si>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</si>
  <si>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</si>
  <si>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</si>
  <si>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</si>
  <si>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</si>
  <si>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</si>
  <si>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</si>
  <si>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</si>
  <si>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</si>
  <si>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</si>
  <si>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</si>
  <si>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</si>
  <si>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</si>
  <si>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</si>
  <si>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</si>
  <si>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</si>
  <si>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</si>
  <si>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</si>
  <si>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</si>
  <si>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</si>
  <si>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</si>
  <si>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</si>
  <si>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</si>
  <si>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</si>
  <si>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</si>
  <si>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</si>
  <si>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</si>
  <si>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</si>
  <si>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</si>
  <si>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</si>
  <si>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</si>
  <si>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</si>
  <si>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</si>
  <si>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</si>
  <si>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</si>
  <si>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</si>
  <si>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</si>
  <si>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</si>
  <si>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</si>
  <si>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</si>
  <si>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</si>
  <si>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</si>
  <si>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</si>
  <si>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</si>
  <si>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</si>
  <si>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</si>
  <si>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</si>
  <si>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</si>
  <si>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</si>
  <si>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</si>
  <si>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</si>
  <si>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</si>
  <si>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</si>
  <si>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</si>
  <si>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</si>
  <si>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</si>
  <si>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</si>
  <si>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</si>
  <si>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</si>
  <si>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</si>
  <si>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</si>
  <si>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</si>
  <si>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</si>
  <si>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</si>
  <si>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</si>
  <si>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</si>
  <si>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</si>
  <si>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</si>
  <si>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</si>
  <si>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</si>
  <si>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</si>
  <si>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</si>
  <si>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</si>
  <si>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</si>
  <si>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</si>
  <si>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</si>
  <si>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</si>
  <si>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</si>
  <si>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</si>
  <si>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</si>
  <si>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</si>
  <si>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</si>
  <si>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</si>
  <si>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</si>
  <si>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</si>
  <si>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</si>
  <si>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</si>
  <si>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</si>
  <si>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</si>
  <si>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</si>
  <si>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</si>
  <si>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</si>
  <si>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</si>
  <si>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</si>
  <si>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</si>
  <si>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</si>
  <si>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</si>
  <si>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</si>
  <si>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</si>
  <si>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</si>
  <si>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</si>
  <si>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</si>
  <si>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</si>
  <si>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</si>
  <si>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</si>
  <si>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</si>
  <si>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</si>
  <si>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</si>
  <si>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</si>
  <si>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</si>
  <si>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</si>
  <si>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</si>
  <si>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</si>
  <si>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</si>
  <si>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</si>
  <si>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</si>
  <si>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</si>
  <si>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</si>
  <si>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</si>
  <si>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</si>
  <si>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</si>
  <si>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</si>
  <si>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</si>
  <si>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</si>
  <si>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</si>
  <si>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</si>
  <si>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</si>
  <si>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</si>
  <si>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</si>
  <si>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</si>
  <si>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</si>
  <si>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</si>
  <si>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</si>
  <si>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</si>
  <si>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</si>
  <si>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</si>
  <si>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</si>
  <si>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</si>
  <si>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</si>
  <si>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</si>
  <si>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</si>
  <si>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</si>
  <si>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</si>
  <si>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</si>
  <si>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</si>
  <si>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</si>
  <si>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</si>
  <si>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</si>
  <si>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</si>
  <si>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</si>
  <si>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</si>
  <si>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</si>
  <si>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</si>
  <si>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</si>
  <si>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</si>
  <si>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</si>
  <si>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</si>
  <si>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</si>
  <si>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</si>
  <si>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</si>
  <si>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</si>
  <si>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</si>
  <si>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</si>
  <si>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</si>
  <si>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</si>
  <si>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</si>
  <si>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</si>
  <si>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</si>
  <si>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</si>
  <si>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</si>
  <si>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</si>
  <si>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</si>
  <si>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</si>
  <si>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</si>
  <si>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</si>
  <si>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</si>
  <si>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</si>
  <si>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</si>
  <si>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</si>
  <si>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</si>
  <si>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</si>
  <si>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</si>
  <si>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</si>
  <si>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</si>
  <si>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</si>
  <si>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</si>
  <si>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</si>
  <si>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</si>
  <si>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</si>
  <si>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</si>
  <si>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</si>
  <si>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</si>
  <si>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</si>
  <si>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</si>
  <si>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</si>
  <si>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</si>
  <si>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</si>
  <si>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</si>
  <si>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</si>
  <si>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</si>
  <si>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</si>
  <si>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</si>
  <si>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</si>
  <si>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</si>
  <si>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</si>
  <si>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</si>
  <si>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</si>
  <si>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</si>
  <si>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</si>
  <si>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</si>
  <si>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</si>
  <si>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</si>
  <si>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</si>
  <si>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</si>
  <si>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</si>
  <si>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</si>
  <si>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</si>
  <si>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</si>
  <si>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</si>
  <si>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</si>
  <si>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</si>
  <si>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</si>
  <si>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</si>
  <si>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</si>
  <si>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</si>
  <si>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</si>
  <si>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</si>
  <si>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</si>
  <si>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</si>
  <si>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</si>
  <si>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</si>
  <si>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</si>
  <si>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</si>
  <si>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</si>
  <si>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</si>
  <si>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</si>
  <si>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</si>
  <si>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</si>
  <si>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</si>
  <si>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</si>
  <si>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</si>
  <si>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</si>
  <si>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</si>
  <si>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</si>
  <si>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</si>
  <si>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</si>
  <si>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</si>
  <si>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</si>
  <si>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</si>
  <si>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</si>
  <si>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</si>
  <si>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</si>
  <si>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</si>
  <si>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</si>
  <si>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</si>
  <si>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</si>
  <si>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</si>
  <si>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</si>
  <si>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</si>
  <si>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</si>
  <si>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</si>
  <si>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</si>
  <si>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</si>
  <si>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</si>
  <si>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</si>
  <si>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</si>
  <si>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</si>
  <si>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</si>
  <si>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</si>
  <si>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</si>
  <si>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</si>
  <si>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</si>
  <si>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</si>
  <si>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</si>
  <si>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</si>
  <si>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</si>
  <si>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</si>
  <si>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</si>
  <si>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</si>
  <si>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</si>
  <si>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</si>
  <si>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</si>
  <si>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</si>
  <si>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</si>
  <si>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</si>
  <si>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</si>
  <si>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</si>
  <si>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</si>
  <si>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</si>
  <si>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</si>
  <si>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</si>
  <si>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</si>
  <si>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</si>
  <si>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</si>
  <si>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</si>
  <si>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</si>
  <si>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</si>
  <si>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</si>
  <si>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</si>
  <si>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</si>
  <si>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</si>
  <si>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</si>
  <si>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</si>
  <si>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</si>
  <si>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</si>
  <si>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</si>
  <si>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</si>
  <si>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</si>
  <si>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</si>
  <si>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</si>
  <si>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</si>
  <si>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</si>
  <si>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</si>
  <si>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</si>
  <si>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</si>
  <si>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</si>
  <si>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</si>
  <si>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</si>
  <si>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</si>
  <si>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</si>
  <si>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</si>
  <si>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</si>
  <si>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</si>
  <si>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</si>
  <si>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</si>
  <si>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</si>
  <si>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</si>
  <si>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</si>
  <si>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</si>
  <si>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</si>
  <si>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</si>
  <si>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</si>
  <si>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</si>
  <si>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</si>
  <si>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</si>
  <si>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</si>
  <si>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</si>
  <si>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</si>
  <si>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</si>
  <si>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</si>
  <si>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</si>
  <si>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</si>
  <si>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</si>
  <si>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</si>
  <si>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</si>
  <si>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</si>
  <si>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</si>
  <si>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</si>
  <si>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</si>
  <si>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</si>
  <si>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</si>
  <si>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</si>
  <si>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</si>
  <si>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</si>
  <si>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</si>
  <si>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</si>
  <si>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</si>
  <si>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</si>
  <si>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</si>
  <si>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</si>
  <si>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</si>
  <si>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</si>
  <si>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</si>
  <si>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</si>
  <si>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</si>
  <si>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</si>
  <si>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</si>
  <si>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</si>
  <si>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</si>
  <si>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</si>
  <si>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</si>
  <si>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</si>
  <si>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</si>
  <si>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</si>
  <si>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</si>
  <si>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</si>
  <si>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</si>
  <si>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</si>
  <si>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</si>
  <si>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</si>
  <si>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</si>
  <si>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</si>
  <si>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</si>
  <si>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</si>
  <si>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</si>
  <si>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</si>
  <si>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</si>
  <si>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</si>
  <si>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</si>
  <si>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</si>
  <si>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</si>
  <si>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</si>
  <si>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</si>
  <si>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</si>
  <si>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</si>
  <si>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</si>
  <si>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</si>
  <si>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</si>
  <si>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</si>
  <si>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</si>
  <si>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</si>
  <si>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</si>
  <si>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</si>
  <si>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</si>
  <si>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</si>
  <si>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</si>
  <si>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</si>
  <si>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</si>
  <si>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</si>
  <si>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</si>
  <si>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</si>
  <si>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</si>
  <si>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</si>
  <si>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</si>
  <si>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</si>
  <si>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</si>
  <si>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</si>
  <si>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</si>
  <si>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</si>
  <si>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</si>
  <si>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</si>
  <si>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</si>
  <si>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</si>
  <si>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</si>
  <si>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</si>
  <si>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</si>
  <si>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</si>
  <si>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</si>
  <si>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</si>
  <si>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</si>
  <si>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</si>
  <si>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</si>
  <si>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</si>
  <si>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</si>
  <si>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</si>
  <si>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</si>
  <si>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</si>
  <si>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</si>
  <si>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</si>
  <si>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</si>
  <si>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</si>
  <si>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</si>
  <si>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</si>
  <si>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</si>
  <si>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</si>
  <si>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</si>
  <si>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</si>
  <si>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</si>
  <si>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</si>
  <si>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</si>
  <si>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</si>
  <si>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</si>
  <si>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</si>
  <si>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</si>
  <si>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</si>
  <si>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</si>
  <si>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</si>
  <si>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</si>
  <si>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</si>
  <si>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</si>
  <si>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</si>
  <si>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</si>
  <si>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</si>
  <si>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</si>
  <si>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</si>
  <si>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</si>
  <si>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</si>
  <si>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</si>
  <si>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</si>
  <si>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</si>
  <si>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</si>
  <si>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</si>
  <si>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</si>
  <si>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</si>
  <si>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</si>
  <si>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</si>
  <si>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</si>
  <si>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</si>
  <si>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</si>
  <si>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</si>
  <si>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</si>
  <si>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</si>
  <si>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</si>
  <si>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</si>
  <si>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</si>
  <si>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</si>
  <si>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</si>
  <si>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</si>
  <si>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</si>
  <si>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</si>
  <si>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</si>
  <si>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</si>
  <si>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</si>
  <si>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</si>
  <si>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</si>
  <si>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</si>
  <si>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</si>
  <si>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</si>
  <si>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</si>
  <si>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</si>
  <si>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</si>
  <si>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</si>
  <si>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</si>
  <si>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</si>
  <si>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</si>
  <si>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</si>
  <si>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</si>
  <si>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</si>
  <si>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</si>
  <si>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</si>
  <si>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</si>
  <si>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</si>
  <si>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</si>
  <si>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</si>
  <si>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</si>
  <si>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</si>
  <si>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</si>
  <si>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</si>
  <si>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</si>
  <si>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</si>
  <si>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</si>
  <si>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</si>
  <si>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</si>
  <si>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</si>
  <si>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</si>
  <si>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</si>
  <si>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</si>
  <si>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</si>
  <si>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</si>
  <si>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</si>
  <si>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</si>
  <si>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</si>
  <si>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</si>
  <si>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</si>
  <si>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</si>
  <si>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</si>
  <si>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</si>
  <si>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</si>
  <si>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</si>
  <si>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</si>
  <si>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</si>
  <si>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</si>
  <si>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</si>
  <si>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</si>
  <si>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</si>
  <si>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</si>
  <si>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</si>
  <si>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</si>
  <si>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</si>
  <si>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</si>
  <si>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</si>
  <si>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</si>
  <si>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</si>
  <si>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</si>
  <si>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</si>
  <si>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</si>
  <si>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</si>
  <si>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</si>
  <si>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</si>
  <si>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</si>
  <si>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</si>
  <si>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</si>
  <si>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</si>
  <si>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</si>
  <si>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</si>
  <si>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</si>
  <si>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</si>
  <si>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</si>
  <si>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</si>
  <si>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</si>
  <si>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</si>
  <si>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</si>
  <si>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</si>
  <si>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</si>
  <si>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</si>
  <si>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</si>
  <si>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</si>
  <si>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</si>
  <si>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</si>
  <si>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</si>
  <si>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</si>
  <si>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</si>
  <si>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</si>
  <si>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</si>
  <si>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</si>
  <si>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</si>
  <si>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</si>
  <si>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</si>
  <si>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</si>
  <si>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</si>
  <si>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</si>
  <si>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</si>
  <si>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</si>
  <si>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</si>
  <si>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</si>
  <si>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</si>
  <si>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</si>
  <si>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</si>
  <si>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</si>
  <si>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</si>
  <si>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</si>
  <si>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</si>
  <si>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</si>
  <si>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</si>
  <si>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</si>
  <si>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</si>
  <si>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</si>
  <si>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</si>
  <si>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</si>
  <si>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</si>
  <si>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</si>
  <si>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</si>
  <si>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</si>
  <si>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</si>
  <si>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</si>
  <si>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</si>
  <si>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</si>
  <si>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</si>
  <si>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</si>
  <si>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</si>
  <si>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</si>
  <si>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</si>
  <si>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</si>
  <si>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</si>
  <si>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</si>
  <si>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</si>
  <si>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</si>
  <si>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</si>
  <si>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</si>
  <si>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</si>
  <si>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</si>
  <si>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</si>
  <si>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</si>
  <si>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</si>
  <si>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</si>
  <si>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</si>
  <si>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</si>
  <si>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</si>
  <si>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</si>
  <si>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</si>
  <si>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</si>
  <si>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</si>
  <si>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</si>
  <si>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</si>
  <si>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</si>
  <si>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</si>
  <si>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</si>
  <si>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</si>
  <si>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</si>
  <si>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</si>
  <si>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</si>
  <si>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</si>
  <si>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</si>
  <si>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</si>
  <si>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</si>
  <si>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</si>
  <si>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</si>
  <si>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</si>
  <si>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</si>
  <si>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</si>
  <si>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</si>
  <si>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</si>
  <si>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</si>
  <si>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</si>
  <si>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</si>
  <si>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</si>
  <si>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</si>
  <si>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</si>
  <si>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</si>
  <si>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</si>
  <si>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</si>
  <si>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</si>
  <si>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</si>
  <si>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</si>
  <si>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</si>
  <si>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</si>
  <si>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</si>
  <si>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</si>
  <si>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</si>
  <si>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</si>
  <si>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</si>
  <si>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</si>
  <si>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</si>
  <si>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</si>
  <si>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</si>
  <si>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</si>
  <si>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</si>
  <si>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</si>
  <si>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</si>
  <si>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</si>
  <si>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</si>
  <si>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</si>
  <si>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</si>
  <si>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</si>
  <si>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</si>
  <si>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</si>
  <si>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</si>
  <si>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</si>
  <si>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</si>
  <si>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</si>
  <si>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</si>
  <si>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</si>
  <si>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</si>
  <si>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</si>
  <si>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</si>
  <si>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</si>
  <si>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</si>
  <si>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</si>
  <si>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</si>
  <si>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</si>
  <si>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</si>
  <si>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</si>
  <si>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</si>
  <si>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</si>
  <si>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</si>
  <si>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</si>
  <si>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</si>
  <si>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</si>
  <si>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</si>
  <si>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</si>
  <si>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</si>
  <si>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</si>
  <si>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</si>
  <si>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</si>
  <si>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</si>
  <si>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</si>
  <si>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</si>
  <si>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</si>
  <si>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</si>
  <si>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</si>
  <si>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</si>
  <si>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</si>
  <si>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</si>
  <si>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</si>
  <si>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</si>
  <si>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</si>
  <si>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</si>
  <si>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</si>
  <si>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</si>
  <si>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</si>
  <si>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</si>
  <si>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</si>
  <si>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</si>
  <si>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</si>
  <si>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</si>
  <si>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</si>
  <si>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</si>
  <si>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</si>
  <si>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</si>
  <si>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</si>
  <si>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</si>
  <si>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</si>
  <si>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</si>
  <si>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</si>
  <si>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</si>
  <si>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</si>
  <si>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</si>
  <si>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</si>
  <si>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</si>
  <si>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</si>
  <si>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</si>
  <si>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</si>
  <si>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</si>
  <si>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</si>
  <si>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</si>
  <si>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</si>
  <si>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</si>
  <si>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</si>
  <si>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</si>
  <si>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</si>
  <si>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</si>
  <si>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</si>
  <si>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</si>
  <si>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</si>
  <si>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</si>
  <si>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</si>
  <si>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</si>
  <si>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</si>
  <si>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</si>
  <si>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</si>
  <si>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</si>
  <si>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</si>
  <si>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</si>
  <si>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</si>
  <si>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</si>
  <si>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</si>
  <si>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</si>
  <si>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</si>
  <si>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</si>
  <si>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</si>
  <si>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</si>
  <si>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</si>
  <si>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</si>
  <si>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</si>
  <si>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</si>
  <si>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</si>
  <si>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</si>
  <si>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</si>
  <si>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</si>
  <si>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</si>
  <si>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</si>
  <si>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</si>
  <si>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</si>
  <si>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</si>
  <si>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</si>
  <si>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</si>
  <si>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</si>
  <si>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</si>
  <si>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</si>
  <si>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</si>
  <si>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</si>
  <si>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</si>
  <si>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</si>
  <si>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</si>
  <si>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</si>
  <si>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</si>
  <si>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</si>
  <si>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</si>
  <si>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</si>
  <si>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</si>
  <si>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</si>
  <si>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</si>
  <si>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</si>
  <si>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</si>
  <si>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</si>
  <si>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</si>
  <si>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</si>
  <si>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</si>
  <si>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</si>
  <si>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</si>
  <si>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</si>
  <si>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</si>
  <si>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</si>
  <si>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</si>
  <si>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</si>
  <si>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</si>
  <si>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</si>
  <si>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</si>
  <si>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</si>
  <si>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</si>
  <si>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</si>
  <si>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</si>
  <si>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</si>
  <si>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</si>
  <si>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</si>
  <si>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</si>
  <si>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</si>
  <si>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</si>
  <si>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</si>
  <si>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</si>
  <si>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</si>
  <si>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</si>
  <si>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</si>
  <si>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</si>
  <si>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</si>
  <si>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</si>
  <si>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</si>
  <si>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</si>
  <si>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</si>
  <si>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</si>
  <si>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</si>
  <si>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</si>
  <si>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</si>
  <si>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</si>
  <si>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</si>
  <si>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</si>
  <si>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</si>
  <si>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</si>
  <si>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</si>
  <si>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</si>
  <si>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</si>
  <si>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</si>
  <si>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</si>
  <si>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</si>
  <si>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</si>
  <si>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</si>
  <si>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</si>
  <si>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</si>
  <si>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</si>
  <si>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</si>
  <si>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</si>
  <si>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</si>
  <si>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</si>
  <si>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</si>
  <si>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</si>
  <si>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</si>
  <si>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</si>
  <si>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</si>
  <si>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</si>
  <si>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</si>
  <si>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</si>
  <si>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</si>
  <si>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</si>
  <si>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</si>
  <si>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</si>
  <si>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</si>
  <si>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</si>
  <si>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</si>
  <si>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</si>
  <si>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</si>
  <si>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</si>
  <si>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</si>
  <si>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</si>
  <si>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</si>
  <si>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</si>
  <si>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</si>
  <si>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</si>
  <si>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</si>
  <si>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</si>
  <si>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</si>
  <si>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</si>
  <si>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</si>
  <si>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</si>
  <si>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</si>
  <si>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</si>
  <si>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</si>
  <si>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</si>
  <si>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</si>
  <si>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</si>
  <si>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</si>
  <si>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</si>
  <si>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</si>
  <si>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</si>
  <si>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</si>
  <si>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</si>
  <si>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</si>
  <si>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</si>
  <si>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</si>
  <si>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</si>
  <si>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</si>
  <si>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</si>
  <si>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</si>
  <si>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</si>
  <si>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</si>
  <si>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</si>
  <si>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</si>
  <si>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</si>
  <si>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</si>
  <si>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</si>
  <si>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</si>
  <si>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</si>
  <si>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</si>
  <si>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</si>
  <si>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</si>
  <si>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</si>
  <si>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</si>
  <si>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</si>
  <si>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</si>
  <si>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</si>
  <si>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</si>
  <si>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</si>
  <si>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</si>
  <si>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</si>
  <si>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</si>
  <si>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</si>
  <si>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</si>
  <si>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</si>
  <si>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</si>
  <si>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</si>
  <si>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</si>
  <si>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</si>
  <si>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</si>
  <si>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</si>
  <si>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</si>
  <si>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</si>
  <si>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</si>
  <si>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</si>
  <si>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</si>
  <si>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</si>
  <si>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</si>
  <si>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</si>
  <si>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</si>
  <si>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</si>
  <si>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</si>
  <si>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</si>
  <si>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</si>
  <si>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</si>
  <si>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</si>
  <si>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</si>
  <si>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</si>
  <si>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</si>
  <si>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</si>
  <si>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</si>
  <si>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</si>
  <si>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</si>
  <si>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</si>
  <si>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</si>
  <si>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</si>
  <si>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</si>
  <si>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</si>
  <si>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</si>
  <si>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</si>
  <si>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</si>
  <si>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</si>
  <si>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</si>
  <si>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</si>
  <si>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</si>
  <si>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</si>
  <si>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</si>
  <si>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</si>
  <si>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</si>
  <si>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</si>
  <si>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</si>
  <si>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</si>
  <si>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</si>
  <si>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</si>
  <si>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</si>
  <si>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</si>
  <si>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</si>
  <si>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</si>
  <si>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</si>
  <si>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</si>
  <si>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</si>
  <si>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</si>
  <si>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</si>
  <si>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</si>
  <si>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</si>
  <si>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</si>
  <si>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</si>
  <si>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</si>
  <si>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</si>
  <si>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</si>
  <si>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</si>
  <si>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</si>
  <si>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</si>
  <si>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</si>
  <si>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</si>
  <si>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</si>
  <si>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</si>
  <si>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</si>
  <si>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</si>
  <si>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</si>
  <si>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</si>
  <si>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</si>
  <si>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</si>
  <si>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</si>
  <si>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</si>
  <si>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</si>
  <si>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</si>
  <si>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</si>
  <si>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</si>
  <si>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</si>
  <si>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</si>
  <si>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</si>
  <si>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</si>
  <si>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</si>
  <si>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</si>
  <si>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</si>
  <si>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</si>
  <si>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</si>
  <si>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</si>
  <si>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</si>
  <si>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</si>
  <si>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</si>
  <si>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</si>
  <si>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</si>
  <si>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</si>
  <si>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</si>
  <si>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</si>
  <si>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</si>
  <si>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</si>
  <si>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</si>
  <si>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</si>
  <si>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</si>
  <si>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</si>
  <si>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</si>
  <si>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</si>
  <si>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</si>
  <si>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</si>
  <si>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</si>
  <si>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</si>
  <si>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</si>
  <si>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</si>
  <si>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</si>
  <si>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</si>
  <si>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</si>
  <si>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</si>
  <si>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</si>
  <si>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</si>
  <si>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</si>
  <si>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</si>
  <si>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</si>
  <si>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</si>
  <si>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</si>
  <si>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</si>
  <si>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</si>
  <si>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</si>
  <si>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</si>
  <si>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</si>
  <si>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</si>
  <si>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</si>
  <si>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</si>
  <si>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</si>
  <si>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</si>
  <si>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</si>
  <si>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</si>
  <si>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</si>
  <si>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</si>
  <si>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</si>
  <si>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</si>
  <si>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</si>
  <si>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</si>
  <si>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</si>
  <si>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</si>
  <si>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</si>
  <si>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</si>
  <si>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</si>
  <si>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</si>
  <si>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</si>
  <si>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</si>
  <si>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</si>
  <si>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</si>
  <si>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</si>
  <si>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</si>
  <si>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</si>
  <si>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</si>
  <si>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</si>
  <si>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</si>
  <si>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</si>
  <si>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</si>
  <si>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</si>
  <si>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</si>
  <si>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</si>
  <si>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</si>
  <si>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</si>
  <si>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</si>
  <si>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</si>
  <si>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</si>
  <si>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</si>
  <si>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</si>
  <si>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</si>
  <si>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</si>
  <si>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</si>
  <si>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</si>
  <si>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</si>
  <si>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</si>
  <si>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</si>
  <si>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</si>
  <si>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</si>
  <si>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</si>
  <si>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</si>
  <si>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</si>
  <si>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</si>
  <si>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</si>
  <si>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</si>
  <si>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</si>
  <si>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</si>
  <si>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</si>
  <si>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</si>
  <si>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</si>
  <si>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</si>
  <si>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</si>
  <si>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</si>
  <si>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</si>
  <si>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</si>
  <si>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</si>
  <si>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</si>
  <si>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</si>
  <si>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</si>
  <si>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</si>
  <si>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</si>
  <si>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</si>
  <si>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</si>
  <si>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</si>
  <si>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</si>
  <si>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</si>
  <si>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</si>
  <si>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</si>
  <si>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</si>
  <si>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</si>
  <si>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</si>
  <si>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</si>
  <si>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</si>
  <si>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</si>
  <si>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</si>
  <si>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</si>
  <si>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</si>
  <si>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</si>
  <si>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</si>
  <si>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</si>
  <si>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</si>
  <si>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</si>
  <si>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</si>
  <si>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</si>
  <si>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</si>
  <si>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</si>
  <si>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</si>
  <si>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</si>
  <si>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</si>
  <si>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</si>
  <si>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</si>
  <si>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</si>
  <si>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</si>
  <si>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</si>
  <si>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</si>
  <si>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</si>
  <si>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</si>
  <si>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</si>
  <si>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</si>
  <si>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</si>
  <si>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</si>
  <si>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</si>
  <si>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</si>
  <si>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</si>
  <si>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</si>
  <si>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</si>
  <si>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</si>
  <si>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</si>
  <si>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</si>
  <si>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</si>
  <si>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</si>
  <si>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</si>
  <si>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</si>
  <si>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</si>
  <si>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</si>
  <si>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</si>
  <si>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</si>
  <si>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</si>
  <si>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</si>
  <si>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</si>
  <si>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</si>
  <si>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</si>
  <si>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</si>
  <si>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</si>
  <si>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</si>
  <si>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</si>
  <si>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</si>
  <si>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</si>
  <si>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</si>
  <si>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</si>
  <si>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</si>
  <si>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</si>
  <si>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</si>
  <si>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</si>
  <si>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</si>
  <si>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</si>
  <si>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</si>
  <si>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</si>
  <si>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</si>
  <si>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</si>
  <si>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</si>
  <si>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</si>
  <si>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</si>
  <si>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</si>
  <si>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</si>
  <si>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</si>
  <si>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</si>
  <si>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</si>
  <si>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</si>
  <si>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</si>
  <si>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</si>
  <si>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</si>
  <si>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</si>
  <si>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</si>
  <si>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</si>
  <si>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</si>
  <si>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</si>
  <si>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</si>
  <si>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</si>
  <si>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</si>
  <si>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</si>
  <si>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</si>
  <si>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</si>
  <si>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</si>
  <si>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</si>
  <si>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</si>
  <si>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</si>
  <si>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</si>
  <si>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</si>
  <si>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</si>
  <si>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</si>
  <si>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</si>
  <si>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</si>
  <si>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</si>
  <si>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</si>
  <si>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</si>
  <si>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</si>
  <si>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</si>
  <si>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</si>
  <si>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</si>
  <si>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</si>
  <si>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</si>
  <si>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</si>
  <si>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</si>
  <si>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</si>
  <si>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</si>
  <si>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</si>
  <si>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</si>
  <si>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</si>
  <si>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</si>
  <si>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</si>
  <si>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</si>
  <si>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</si>
  <si>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</si>
  <si>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</si>
  <si>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</si>
  <si>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</si>
  <si>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</si>
  <si>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</si>
  <si>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</si>
  <si>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</si>
  <si>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</si>
  <si>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</si>
  <si>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</si>
  <si>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</si>
  <si>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</si>
  <si>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</si>
  <si>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</si>
  <si>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</si>
  <si>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</si>
  <si>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</si>
  <si>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</si>
  <si>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</si>
  <si>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</si>
  <si>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</si>
  <si>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</si>
  <si>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</si>
  <si>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</si>
  <si>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</si>
  <si>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</si>
  <si>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</si>
  <si>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</si>
  <si>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</si>
  <si>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</si>
  <si>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</si>
  <si>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</si>
  <si>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</si>
  <si>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</si>
  <si>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</si>
  <si>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</si>
  <si>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</si>
  <si>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</si>
  <si>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</si>
  <si>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</si>
  <si>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</si>
  <si>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</si>
  <si>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</si>
  <si>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</si>
  <si>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</si>
  <si>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</si>
  <si>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</si>
  <si>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</si>
  <si>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</si>
  <si>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</si>
  <si>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</si>
  <si>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</si>
  <si>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</si>
  <si>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</si>
  <si>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</si>
  <si>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</si>
  <si>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</si>
  <si>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</si>
  <si>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</si>
  <si>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</si>
  <si>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</si>
  <si>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</si>
  <si>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</si>
  <si>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</si>
  <si>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</si>
  <si>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</si>
  <si>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</si>
  <si>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</si>
  <si>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</si>
  <si>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</si>
  <si>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</si>
  <si>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</si>
  <si>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</si>
  <si>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</si>
  <si>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</si>
  <si>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</si>
  <si>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</si>
  <si>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</si>
  <si>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</si>
  <si>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</si>
  <si>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</si>
  <si>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</si>
  <si>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</si>
  <si>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</si>
  <si>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</si>
  <si>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</si>
  <si>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</si>
  <si>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</si>
  <si>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</si>
  <si>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</si>
  <si>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</si>
  <si>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</si>
  <si>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</si>
  <si>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</si>
  <si>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</si>
  <si>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</si>
  <si>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</si>
  <si>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</si>
  <si>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</si>
  <si>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</si>
  <si>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</si>
  <si>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</si>
  <si>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</si>
  <si>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</si>
  <si>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</si>
  <si>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</si>
  <si>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</si>
  <si>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</si>
  <si>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</si>
  <si>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</si>
  <si>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</si>
  <si>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</si>
  <si>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</si>
  <si>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</si>
  <si>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</si>
  <si>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</si>
  <si>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</si>
  <si>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</si>
  <si>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</si>
  <si>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</si>
  <si>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</si>
  <si>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</si>
  <si>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</si>
  <si>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</si>
  <si>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</si>
  <si>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</si>
  <si>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</si>
  <si>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</si>
  <si>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</si>
  <si>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</si>
  <si>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</si>
  <si>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</si>
  <si>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</si>
  <si>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</si>
  <si>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</si>
  <si>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</si>
  <si>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</si>
  <si>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</si>
  <si>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</si>
  <si>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</si>
  <si>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</si>
  <si>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</si>
  <si>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</si>
  <si>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</si>
  <si>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</si>
  <si>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</si>
  <si>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</si>
  <si>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</si>
  <si>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</si>
  <si>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</si>
  <si>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</si>
  <si>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</si>
  <si>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</si>
  <si>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</si>
  <si>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</si>
  <si>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</si>
  <si>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</si>
  <si>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</si>
  <si>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</si>
  <si>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</si>
  <si>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</si>
  <si>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</si>
  <si>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</si>
  <si>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</si>
  <si>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</si>
  <si>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</si>
  <si>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</si>
  <si>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</si>
  <si>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</si>
  <si>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</si>
  <si>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</si>
  <si>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</si>
  <si>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</si>
  <si>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</si>
  <si>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</si>
  <si>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</si>
  <si>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</si>
  <si>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</si>
  <si>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</si>
  <si>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</si>
  <si>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</si>
  <si>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</si>
  <si>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</si>
  <si>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</si>
  <si>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</si>
  <si>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</si>
  <si>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</si>
  <si>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</si>
  <si>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</si>
  <si>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</si>
  <si>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</si>
  <si>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</si>
  <si>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</si>
  <si>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</si>
  <si>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</si>
  <si>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</si>
  <si>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</si>
  <si>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</si>
  <si>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</si>
  <si>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</si>
  <si>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</si>
  <si>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</si>
  <si>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</si>
  <si>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</si>
  <si>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</si>
  <si>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</si>
  <si>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</si>
  <si>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</si>
  <si>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</si>
  <si>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</si>
  <si>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</si>
  <si>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</si>
  <si>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</si>
  <si>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</si>
  <si>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</si>
  <si>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</si>
  <si>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</si>
  <si>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</si>
  <si>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</si>
  <si>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</si>
  <si>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</si>
  <si>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</si>
  <si>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</si>
  <si>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</si>
  <si>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</si>
  <si>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</si>
  <si>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</si>
  <si>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</si>
  <si>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</si>
  <si>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</si>
  <si>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</si>
  <si>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</si>
  <si>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</si>
  <si>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</si>
  <si>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</si>
  <si>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</si>
  <si>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</si>
  <si>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</si>
  <si>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</si>
  <si>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</si>
  <si>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</si>
  <si>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</si>
  <si>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</si>
  <si>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</si>
  <si>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</si>
  <si>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</si>
  <si>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</si>
  <si>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</si>
  <si>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</si>
  <si>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</si>
  <si>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</si>
  <si>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</si>
  <si>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</si>
  <si>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</si>
  <si>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</si>
  <si>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</si>
  <si>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</si>
  <si>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</si>
  <si>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</si>
  <si>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</si>
  <si>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</si>
  <si>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</si>
  <si>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</si>
  <si>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</si>
  <si>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</si>
  <si>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</si>
  <si>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</si>
  <si>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</si>
  <si>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</si>
  <si>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</si>
  <si>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</si>
  <si>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</si>
  <si>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</si>
  <si>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</si>
  <si>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</si>
  <si>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</si>
  <si>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</si>
  <si>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</si>
  <si>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</si>
  <si>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</si>
  <si>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</si>
  <si>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</si>
  <si>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</si>
  <si>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</si>
  <si>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</si>
  <si>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</si>
  <si>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</si>
  <si>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</si>
  <si>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</si>
  <si>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</si>
  <si>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</si>
  <si>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</si>
  <si>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</si>
  <si>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</si>
  <si>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</si>
  <si>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</si>
  <si>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</si>
  <si>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</si>
  <si>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</si>
  <si>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</si>
  <si>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</si>
  <si>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</si>
  <si>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</si>
  <si>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</si>
  <si>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</si>
  <si>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</si>
  <si>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</si>
  <si>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</si>
  <si>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</si>
  <si>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</si>
  <si>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</si>
  <si>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</si>
  <si>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</si>
  <si>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</si>
  <si>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</si>
  <si>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</si>
  <si>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</si>
  <si>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</si>
  <si>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</si>
  <si>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</si>
  <si>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</si>
  <si>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</si>
  <si>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</si>
  <si>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</si>
  <si>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</si>
  <si>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</si>
  <si>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</si>
  <si>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</si>
  <si>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</si>
  <si>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</si>
  <si>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</si>
  <si>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</si>
  <si>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</si>
  <si>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</si>
  <si>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</si>
  <si>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</si>
  <si>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</si>
  <si>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</si>
  <si>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</si>
  <si>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</si>
  <si>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</si>
  <si>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</si>
  <si>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</si>
  <si>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</si>
  <si>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</si>
  <si>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</si>
  <si>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</si>
  <si>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</si>
  <si>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</si>
  <si>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</si>
  <si>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</si>
  <si>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</si>
  <si>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</si>
  <si>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</si>
  <si>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</si>
  <si>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</si>
  <si>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</si>
  <si>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</si>
  <si>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</si>
  <si>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</si>
  <si>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</si>
  <si>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</si>
  <si>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</si>
  <si>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</si>
  <si>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</si>
  <si>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</si>
  <si>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</si>
  <si>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</si>
  <si>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</si>
  <si>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</si>
  <si>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</si>
  <si>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</si>
  <si>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</si>
  <si>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</si>
  <si>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</si>
  <si>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</si>
  <si>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</si>
  <si>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</si>
  <si>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</si>
  <si>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</si>
  <si>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</si>
  <si>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</si>
  <si>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</si>
  <si>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</si>
  <si>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</si>
  <si>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</si>
  <si>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</si>
  <si>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</si>
  <si>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</si>
  <si>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</si>
  <si>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</si>
  <si>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</si>
  <si>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</si>
  <si>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</si>
  <si>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</si>
  <si>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</si>
  <si>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</si>
  <si>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</si>
  <si>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</si>
  <si>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</si>
  <si>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</si>
  <si>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</si>
  <si>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</si>
  <si>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</si>
  <si>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</si>
  <si>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</si>
  <si>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</si>
  <si>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</si>
  <si>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</si>
  <si>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</si>
  <si>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</si>
  <si>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</si>
  <si>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</si>
  <si>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</si>
  <si>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</si>
  <si>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</si>
  <si>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</si>
  <si>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</si>
  <si>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</si>
  <si>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</si>
  <si>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</si>
  <si>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</si>
  <si>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</si>
  <si>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</si>
  <si>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</si>
  <si>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</si>
  <si>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</si>
  <si>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</si>
  <si>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</si>
  <si>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</si>
  <si>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</si>
  <si>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</si>
  <si>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</si>
  <si>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</si>
  <si>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</si>
  <si>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</si>
  <si>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</si>
  <si>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</si>
  <si>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</si>
  <si>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</si>
  <si>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</si>
  <si>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</si>
  <si>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</si>
  <si>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</si>
  <si>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</si>
  <si>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</si>
  <si>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</si>
  <si>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</si>
  <si>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</si>
  <si>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</si>
  <si>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</si>
  <si>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</si>
  <si>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</si>
  <si>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</si>
  <si>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</si>
  <si>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</si>
  <si>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</si>
  <si>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</si>
  <si>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</si>
  <si>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</si>
  <si>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</si>
  <si>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</si>
  <si>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</si>
  <si>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</si>
  <si>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</si>
  <si>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</si>
  <si>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</si>
  <si>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</si>
  <si>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</si>
  <si>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</si>
  <si>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</si>
  <si>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</si>
  <si>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</si>
  <si>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</si>
  <si>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</si>
  <si>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</si>
  <si>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</si>
  <si>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</si>
  <si>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</si>
  <si>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</si>
  <si>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</si>
  <si>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</si>
  <si>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</si>
  <si>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</si>
  <si>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</si>
  <si>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</si>
  <si>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</si>
  <si>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</si>
  <si>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</si>
  <si>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</si>
  <si>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</si>
  <si>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</si>
  <si>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</si>
  <si>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</si>
  <si>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</si>
  <si>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</si>
  <si>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</si>
  <si>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</si>
  <si>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</si>
  <si>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</si>
  <si>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</si>
  <si>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</si>
  <si>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</si>
  <si>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</si>
  <si>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</si>
  <si>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</si>
  <si>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</si>
  <si>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</si>
  <si>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</si>
  <si>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</si>
  <si>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</si>
  <si>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</si>
  <si>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</si>
  <si>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</si>
  <si>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</si>
  <si>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</si>
  <si>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</si>
  <si>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</si>
  <si>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</si>
  <si>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</si>
  <si>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</si>
  <si>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</si>
  <si>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</si>
  <si>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</si>
  <si>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</si>
  <si>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</si>
  <si>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</si>
  <si>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</si>
  <si>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</si>
  <si>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</si>
  <si>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</si>
  <si>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</si>
  <si>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</si>
  <si>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</si>
  <si>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</si>
  <si>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</si>
  <si>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</si>
  <si>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</si>
  <si>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</si>
  <si>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</si>
  <si>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</si>
  <si>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</si>
  <si>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</si>
  <si>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</si>
  <si>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</si>
  <si>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</si>
  <si>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</si>
  <si>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</si>
  <si>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</si>
  <si>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</si>
  <si>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</si>
  <si>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</si>
  <si>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</si>
  <si>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</si>
  <si>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</si>
  <si>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</si>
  <si>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</si>
  <si>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</si>
  <si>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</si>
  <si>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</si>
  <si>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</si>
  <si>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</si>
  <si>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</si>
  <si>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</si>
  <si>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</si>
  <si>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</si>
  <si>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</si>
  <si>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</si>
  <si>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</si>
  <si>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</si>
  <si>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</si>
  <si>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</si>
  <si>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</si>
  <si>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</si>
  <si>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</si>
  <si>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</si>
  <si>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</si>
  <si>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</si>
  <si>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</si>
  <si>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</si>
  <si>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</si>
  <si>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</si>
  <si>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</si>
  <si>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</si>
  <si>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</si>
  <si>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</si>
  <si>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</si>
  <si>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</si>
  <si>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</si>
  <si>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</si>
  <si>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</si>
  <si>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</si>
  <si>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</si>
  <si>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</si>
  <si>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</si>
  <si>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</si>
  <si>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</si>
  <si>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</si>
  <si>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</si>
  <si>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</si>
  <si>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</si>
  <si>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</si>
  <si>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</si>
  <si>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</si>
  <si>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</si>
  <si>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</si>
  <si>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</si>
  <si>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</si>
  <si>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</si>
  <si>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</si>
  <si>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</si>
  <si>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</si>
  <si>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</si>
  <si>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</si>
  <si>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</si>
  <si>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</si>
  <si>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</si>
  <si>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</si>
  <si>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</si>
  <si>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</si>
  <si>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</si>
  <si>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</si>
  <si>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</si>
  <si>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</si>
  <si>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</si>
  <si>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</si>
  <si>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</si>
  <si>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</si>
  <si>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</si>
  <si>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</si>
  <si>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</si>
  <si>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</si>
  <si>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</si>
  <si>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</si>
  <si>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</si>
  <si>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</si>
  <si>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</si>
  <si>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</si>
  <si>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</si>
  <si>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</si>
  <si>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</si>
  <si>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</si>
  <si>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</si>
  <si>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</si>
  <si>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</si>
  <si>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</si>
  <si>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</si>
  <si>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</si>
  <si>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</si>
  <si>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</si>
  <si>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</si>
  <si>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</si>
  <si>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</si>
  <si>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</si>
  <si>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</si>
  <si>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</si>
  <si>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</si>
  <si>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</si>
  <si>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</si>
  <si>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</si>
  <si>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</si>
  <si>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</si>
  <si>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</si>
  <si>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</si>
  <si>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</si>
  <si>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</si>
  <si>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</si>
  <si>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</si>
  <si>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</si>
  <si>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</si>
  <si>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</si>
  <si>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</si>
  <si>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</si>
  <si>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</si>
  <si>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</si>
  <si>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</si>
  <si>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</si>
  <si>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</si>
  <si>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</si>
  <si>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</si>
  <si>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</si>
  <si>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</si>
  <si>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</si>
  <si>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</si>
  <si>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</si>
  <si>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</si>
  <si>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</si>
  <si>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</si>
  <si>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</si>
  <si>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</si>
  <si>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</si>
  <si>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</si>
  <si>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</si>
  <si>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</si>
  <si>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</si>
  <si>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</si>
  <si>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</si>
  <si>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</si>
  <si>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</si>
  <si>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</si>
  <si>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</si>
  <si>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</si>
  <si>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</si>
  <si>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</si>
  <si>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</si>
  <si>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</si>
  <si>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</si>
  <si>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</si>
  <si>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</si>
  <si>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</si>
  <si>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</si>
  <si>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</si>
  <si>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</si>
  <si>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</si>
  <si>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</si>
  <si>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</si>
  <si>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</si>
  <si>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</si>
  <si>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</si>
  <si>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</si>
  <si>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</si>
  <si>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</si>
  <si>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</si>
  <si>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</si>
  <si>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</si>
  <si>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</si>
  <si>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</si>
  <si>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</si>
  <si>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</si>
  <si>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</si>
  <si>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</si>
  <si>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</si>
  <si>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</si>
  <si>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</si>
  <si>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</si>
  <si>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</si>
  <si>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</si>
  <si>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</si>
  <si>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</si>
  <si>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</si>
  <si>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</si>
  <si>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</si>
  <si>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</si>
  <si>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</si>
  <si>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</si>
  <si>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</si>
  <si>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</si>
  <si>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</si>
  <si>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</si>
  <si>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</si>
  <si>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</si>
  <si>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</si>
  <si>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</si>
  <si>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</si>
  <si>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</si>
  <si>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</si>
  <si>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</si>
  <si>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</si>
  <si>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</si>
  <si>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</si>
  <si>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</si>
  <si>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</si>
  <si>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</si>
  <si>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</si>
  <si>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</si>
  <si>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</si>
  <si>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</si>
  <si>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</si>
  <si>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</si>
  <si>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</si>
  <si>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</si>
  <si>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</si>
  <si>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</si>
  <si>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</si>
  <si>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</si>
  <si>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</si>
  <si>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</si>
  <si>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</si>
  <si>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</si>
  <si>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</si>
  <si>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</si>
  <si>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</si>
  <si>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</si>
  <si>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</si>
  <si>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</si>
  <si>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</si>
  <si>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</si>
  <si>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</si>
  <si>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</si>
  <si>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</si>
  <si>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</si>
  <si>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</si>
  <si>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</si>
  <si>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</si>
  <si>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</si>
  <si>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</si>
  <si>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</si>
  <si>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</si>
  <si>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</si>
  <si>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</si>
  <si>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</si>
  <si>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</si>
  <si>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</si>
  <si>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</si>
  <si>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</si>
  <si>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</si>
  <si>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</si>
  <si>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</si>
  <si>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</si>
  <si>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</si>
  <si>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</si>
  <si>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</si>
  <si>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</si>
  <si>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</si>
  <si>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</si>
  <si>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</si>
  <si>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</si>
  <si>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</si>
  <si>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</si>
  <si>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</si>
  <si>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</si>
  <si>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</si>
  <si>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</si>
  <si>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</si>
  <si>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</si>
  <si>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</si>
  <si>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</si>
  <si>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</si>
  <si>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</si>
  <si>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</si>
  <si>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</si>
  <si>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</si>
  <si>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</si>
  <si>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</si>
  <si>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</si>
  <si>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</si>
  <si>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</si>
  <si>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</si>
  <si>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</si>
  <si>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</si>
  <si>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</si>
  <si>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</si>
  <si>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</si>
  <si>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</si>
  <si>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</si>
  <si>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</si>
  <si>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</si>
  <si>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</si>
  <si>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</si>
  <si>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</si>
  <si>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</si>
  <si>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</si>
  <si>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</si>
  <si>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</si>
  <si>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</si>
  <si>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</si>
  <si>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</si>
  <si>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</si>
  <si>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</si>
  <si>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</si>
  <si>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</si>
  <si>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</si>
  <si>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</si>
  <si>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</si>
  <si>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</si>
  <si>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</si>
  <si>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</si>
  <si>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</si>
  <si>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</si>
  <si>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</si>
  <si>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</si>
  <si>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</si>
  <si>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</si>
  <si>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</si>
  <si>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</si>
  <si>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</si>
  <si>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</si>
  <si>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</si>
  <si>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</si>
  <si>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</si>
  <si>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</si>
  <si>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</si>
  <si>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</si>
  <si>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</si>
  <si>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</si>
  <si>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</si>
  <si>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</si>
  <si>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</si>
  <si>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</si>
  <si>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</si>
  <si>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</si>
  <si>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</si>
  <si>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</si>
  <si>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</si>
  <si>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</si>
  <si>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</si>
  <si>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</si>
  <si>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</si>
  <si>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</si>
  <si>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</si>
  <si>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</si>
  <si>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</si>
  <si>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</si>
  <si>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</si>
  <si>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</si>
  <si>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</si>
  <si>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</si>
  <si>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</si>
  <si>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</si>
  <si>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</si>
  <si>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</si>
  <si>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</si>
  <si>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</si>
  <si>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</si>
  <si>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</si>
  <si>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</si>
  <si>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</si>
  <si>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</si>
  <si>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</si>
  <si>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</si>
  <si>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</si>
  <si>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</si>
  <si>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</si>
  <si>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</si>
  <si>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</si>
  <si>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</si>
  <si>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</si>
  <si>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</si>
  <si>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</si>
  <si>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</si>
  <si>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</si>
  <si>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</si>
  <si>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</si>
  <si>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</si>
  <si>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</si>
  <si>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</si>
  <si>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</si>
  <si>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</si>
  <si>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</si>
  <si>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</si>
  <si>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</si>
  <si>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</si>
  <si>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</si>
  <si>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</si>
  <si>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</si>
  <si>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</si>
  <si>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</si>
  <si>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</si>
  <si>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</si>
  <si>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</si>
  <si>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</si>
  <si>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</si>
  <si>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</si>
  <si>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</si>
  <si>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</si>
  <si>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</si>
  <si>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</si>
  <si>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</si>
  <si>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</si>
  <si>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</si>
  <si>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</si>
  <si>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</si>
  <si>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</si>
  <si>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</si>
  <si>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</si>
  <si>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</si>
  <si>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</si>
  <si>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</si>
  <si>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</si>
  <si>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</si>
  <si>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</si>
  <si>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</si>
  <si>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</si>
  <si>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</si>
  <si>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</si>
  <si>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</si>
  <si>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</si>
  <si>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</si>
  <si>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</si>
  <si>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</si>
  <si>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</si>
  <si>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</si>
  <si>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</si>
  <si>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</si>
  <si>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</si>
  <si>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</si>
  <si>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</si>
  <si>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</si>
  <si>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</si>
  <si>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</si>
  <si>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</si>
  <si>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</si>
  <si>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</si>
  <si>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</si>
  <si>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</si>
  <si>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</si>
  <si>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</si>
  <si>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</si>
  <si>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</si>
  <si>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</si>
  <si>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</si>
  <si>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</si>
  <si>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</si>
  <si>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</si>
  <si>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</si>
  <si>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</si>
  <si>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</si>
  <si>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</si>
  <si>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</si>
  <si>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</si>
  <si>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</si>
  <si>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</si>
  <si>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</si>
  <si>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</si>
  <si>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</si>
  <si>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</si>
  <si>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</si>
  <si>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</si>
  <si>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</si>
  <si>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</si>
  <si>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</si>
  <si>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</si>
  <si>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</si>
  <si>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</si>
  <si>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</si>
  <si>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</si>
  <si>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</si>
  <si>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</si>
  <si>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</si>
  <si>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</si>
  <si>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</si>
  <si>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</si>
  <si>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</si>
  <si>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</si>
  <si>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</si>
  <si>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</si>
  <si>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</si>
  <si>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</si>
  <si>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</si>
  <si>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</si>
  <si>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</si>
  <si>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</si>
  <si>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</si>
  <si>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</si>
  <si>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</si>
  <si>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</si>
  <si>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</si>
  <si>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</si>
  <si>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</si>
  <si>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</si>
  <si>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</si>
  <si>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</si>
  <si>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</si>
  <si>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</si>
  <si>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</si>
  <si>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</si>
  <si>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</si>
  <si>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</si>
  <si>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</si>
  <si>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</si>
  <si>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</si>
  <si>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</si>
  <si>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</si>
  <si>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</si>
  <si>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</si>
  <si>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</si>
  <si>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</si>
  <si>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</si>
  <si>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</si>
  <si>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</si>
  <si>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</si>
  <si>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</si>
  <si>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</si>
  <si>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</si>
  <si>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</si>
  <si>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</si>
  <si>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</si>
  <si>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</si>
  <si>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</si>
  <si>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</si>
  <si>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</si>
  <si>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</si>
  <si>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</si>
  <si>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</si>
  <si>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</si>
  <si>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</si>
  <si>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</si>
  <si>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</si>
  <si>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</si>
  <si>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</si>
  <si>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</si>
  <si>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</si>
  <si>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</si>
  <si>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</si>
  <si>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</si>
  <si>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</si>
  <si>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</si>
  <si>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</si>
  <si>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</si>
  <si>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</si>
  <si>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</si>
  <si>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</si>
  <si>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</si>
  <si>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</si>
  <si>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</si>
  <si>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</si>
  <si>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</si>
  <si>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</si>
  <si>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</si>
  <si>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</si>
  <si>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</si>
  <si>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</si>
  <si>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</si>
  <si>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</si>
  <si>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</si>
  <si>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</si>
  <si>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</si>
  <si>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</si>
  <si>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</si>
  <si>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</si>
  <si>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</si>
  <si>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</si>
  <si>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</si>
  <si>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</si>
  <si>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</si>
  <si>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</si>
  <si>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</si>
  <si>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</si>
  <si>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</si>
  <si>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</si>
  <si>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</si>
  <si>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</si>
  <si>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</si>
  <si>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</si>
  <si>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</si>
  <si>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</si>
  <si>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</si>
  <si>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</si>
  <si>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</si>
  <si>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</si>
  <si>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</si>
  <si>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</si>
  <si>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</si>
  <si>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</si>
  <si>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</si>
  <si>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</si>
  <si>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</si>
  <si>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</si>
  <si>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</si>
  <si>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</si>
  <si>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</si>
  <si>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</si>
  <si>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</si>
  <si>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</si>
  <si>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</si>
  <si>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</si>
  <si>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</si>
  <si>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</si>
  <si>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</si>
  <si>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</si>
  <si>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</si>
  <si>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</si>
  <si>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</si>
  <si>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</si>
  <si>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</si>
  <si>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</si>
  <si>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</si>
  <si>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</si>
  <si>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</si>
  <si>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</si>
  <si>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</si>
  <si>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</si>
  <si>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</si>
  <si>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</si>
  <si>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</si>
  <si>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</si>
  <si>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</si>
  <si>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</si>
  <si>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</si>
  <si>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</si>
  <si>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</si>
  <si>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</si>
  <si>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</si>
  <si>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</si>
  <si>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</si>
  <si>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</si>
  <si>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</si>
  <si>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</si>
  <si>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</si>
  <si>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</si>
  <si>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</si>
  <si>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</si>
  <si>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</si>
  <si>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</si>
  <si>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</si>
  <si>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</si>
  <si>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</si>
  <si>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</si>
  <si>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</si>
  <si>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</si>
  <si>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</si>
  <si>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</si>
  <si>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</si>
  <si>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</si>
  <si>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</si>
  <si>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</si>
  <si>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</si>
  <si>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</si>
  <si>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</si>
  <si>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</si>
  <si>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</si>
  <si>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</si>
  <si>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</si>
  <si>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</si>
  <si>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</si>
  <si>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</si>
  <si>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</si>
  <si>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</si>
  <si>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</si>
  <si>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</si>
  <si>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</si>
  <si>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</si>
  <si>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</si>
  <si>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</si>
  <si>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</si>
  <si>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</si>
  <si>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</si>
  <si>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</si>
  <si>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</si>
  <si>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</si>
  <si>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</si>
  <si>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</si>
  <si>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</si>
  <si>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</si>
  <si>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</si>
  <si>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</si>
  <si>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</si>
  <si>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</si>
  <si>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</si>
  <si>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</si>
  <si>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</si>
  <si>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</si>
  <si>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</si>
  <si>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</si>
  <si>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</si>
  <si>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</si>
  <si>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</si>
  <si>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</si>
  <si>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</si>
  <si>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</si>
  <si>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</si>
  <si>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</si>
  <si>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</si>
  <si>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</si>
  <si>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</si>
  <si>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</si>
  <si>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</si>
  <si>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</si>
  <si>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</si>
  <si>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</si>
  <si>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</si>
  <si>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</si>
  <si>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</si>
  <si>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</si>
  <si>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</si>
  <si>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</si>
  <si>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</si>
  <si>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</si>
  <si>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</si>
  <si>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</si>
  <si>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</si>
  <si>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</si>
  <si>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</si>
  <si>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</si>
  <si>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</si>
  <si>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</si>
  <si>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</si>
  <si>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</si>
  <si>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</si>
  <si>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</si>
  <si>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</si>
  <si>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</si>
  <si>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</si>
  <si>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</si>
  <si>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</si>
  <si>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</si>
  <si>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</si>
  <si>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</si>
  <si>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</si>
  <si>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</si>
  <si>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</si>
  <si>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</si>
  <si>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</si>
  <si>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</si>
  <si>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</si>
  <si>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</si>
  <si>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</si>
  <si>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</si>
  <si>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</si>
  <si>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</si>
  <si>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</si>
  <si>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</si>
  <si>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</si>
  <si>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</si>
  <si>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</si>
  <si>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</si>
  <si>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</si>
  <si>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</si>
  <si>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</si>
  <si>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</si>
  <si>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</si>
  <si>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</si>
  <si>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</si>
  <si>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</si>
  <si>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</si>
  <si>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</si>
  <si>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</si>
  <si>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</si>
  <si>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</si>
  <si>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</si>
  <si>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</si>
  <si>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</si>
  <si>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</si>
  <si>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</si>
  <si>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</si>
  <si>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</si>
  <si>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</si>
  <si>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</si>
  <si>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</si>
  <si>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</si>
  <si>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</si>
  <si>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</si>
  <si>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</si>
  <si>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</si>
  <si>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</si>
  <si>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</si>
  <si>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</si>
  <si>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</si>
  <si>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</si>
  <si>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</si>
  <si>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</si>
  <si>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</si>
  <si>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</si>
  <si>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</si>
  <si>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</si>
  <si>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</si>
  <si>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</si>
  <si>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</si>
  <si>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</si>
  <si>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</si>
  <si>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</si>
  <si>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</si>
  <si>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</si>
  <si>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</si>
  <si>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</si>
  <si>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</si>
  <si>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</si>
  <si>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</si>
  <si>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</si>
  <si>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</si>
  <si>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</si>
  <si>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</si>
  <si>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</si>
  <si>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</si>
  <si>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</si>
  <si>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</si>
  <si>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</si>
  <si>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</si>
  <si>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</si>
  <si>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</si>
  <si>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</si>
  <si>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</si>
  <si>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</si>
  <si>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</si>
  <si>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</si>
  <si>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</si>
  <si>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</si>
  <si>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</si>
  <si>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</si>
  <si>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</si>
  <si>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</si>
  <si>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</si>
  <si>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</si>
  <si>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</si>
  <si>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</si>
  <si>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</si>
  <si>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</si>
  <si>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</si>
  <si>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</si>
  <si>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</si>
  <si>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</si>
  <si>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</si>
  <si>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</si>
  <si>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</si>
  <si>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</si>
  <si>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</si>
  <si>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</si>
  <si>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</si>
  <si>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</si>
  <si>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</si>
  <si>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</si>
  <si>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</si>
  <si>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</si>
  <si>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</si>
  <si>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</si>
  <si>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</si>
  <si>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</si>
  <si>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</si>
  <si>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</si>
  <si>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</si>
  <si>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</si>
  <si>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</si>
  <si>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</si>
  <si>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</si>
  <si>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</si>
  <si>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</si>
  <si>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</si>
  <si>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</si>
  <si>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</si>
  <si>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</si>
  <si>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</si>
  <si>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</si>
  <si>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</si>
  <si>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</si>
  <si>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</si>
  <si>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</si>
  <si>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</si>
  <si>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</si>
  <si>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</si>
  <si>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</si>
  <si>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</si>
  <si>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</si>
  <si>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</si>
  <si>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</si>
  <si>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</si>
  <si>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</si>
  <si>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</si>
  <si>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</si>
  <si>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</si>
  <si>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</si>
  <si>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</si>
  <si>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</si>
  <si>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</si>
  <si>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</si>
  <si>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</si>
  <si>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</si>
  <si>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</si>
  <si>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</si>
  <si>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</si>
  <si>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</si>
  <si>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</si>
  <si>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</si>
  <si>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</si>
  <si>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</si>
  <si>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</si>
  <si>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</si>
  <si>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</si>
  <si>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</si>
  <si>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</si>
  <si>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</si>
  <si>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</si>
  <si>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</si>
  <si>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</si>
  <si>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</si>
  <si>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</si>
  <si>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</si>
  <si>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</si>
  <si>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</si>
  <si>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</si>
  <si>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</si>
  <si>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</si>
  <si>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</si>
  <si>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</si>
  <si>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</si>
  <si>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</si>
  <si>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</si>
  <si>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</si>
  <si>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</si>
  <si>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</si>
  <si>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</si>
  <si>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</si>
  <si>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</si>
  <si>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</si>
  <si>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</si>
  <si>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</si>
  <si>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</si>
  <si>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</si>
  <si>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</si>
  <si>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</si>
  <si>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</si>
  <si>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</si>
  <si>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</si>
  <si>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</si>
  <si>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</si>
  <si>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</si>
  <si>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</si>
  <si>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</si>
  <si>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</si>
  <si>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</si>
  <si>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</si>
  <si>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</si>
  <si>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</si>
  <si>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</si>
  <si>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</si>
  <si>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</si>
  <si>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</si>
  <si>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</si>
  <si>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</si>
  <si>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</si>
  <si>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</si>
  <si>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</si>
  <si>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</si>
  <si>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</si>
  <si>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</si>
  <si>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</si>
  <si>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</si>
  <si>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</si>
  <si>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</si>
  <si>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</si>
  <si>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</si>
  <si>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</si>
  <si>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</si>
  <si>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</si>
  <si>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</si>
  <si>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</si>
  <si>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</si>
  <si>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</si>
  <si>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</si>
  <si>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</si>
  <si>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</si>
  <si>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</si>
  <si>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</si>
  <si>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</si>
  <si>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</si>
  <si>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</si>
  <si>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</si>
  <si>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</si>
  <si>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</si>
  <si>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</si>
  <si>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</si>
  <si>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</si>
  <si>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</si>
  <si>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</si>
  <si>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</si>
  <si>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</si>
  <si>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</si>
  <si>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</si>
  <si>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</si>
  <si>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</si>
  <si>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</si>
  <si>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</si>
  <si>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</si>
  <si>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</si>
  <si>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</si>
  <si>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</si>
  <si>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</si>
  <si>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</si>
  <si>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</si>
  <si>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</si>
  <si>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</si>
  <si>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</si>
  <si>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</si>
  <si>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</si>
  <si>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</si>
  <si>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</si>
  <si>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</si>
  <si>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</si>
  <si>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</si>
  <si>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</si>
  <si>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</si>
  <si>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</si>
  <si>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</si>
  <si>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</si>
  <si>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</si>
  <si>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</si>
  <si>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</si>
  <si>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</si>
  <si>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</si>
  <si>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</si>
  <si>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</si>
  <si>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</si>
  <si>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</si>
  <si>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</si>
  <si>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</si>
  <si>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</si>
  <si>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</si>
  <si>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</si>
  <si>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</si>
  <si>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</si>
  <si>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</si>
  <si>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</si>
  <si>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</si>
  <si>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</si>
  <si>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</si>
  <si>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</si>
  <si>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</si>
  <si>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</si>
  <si>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</si>
  <si>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</si>
  <si>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</si>
  <si>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</si>
  <si>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</si>
  <si>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</si>
  <si>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</si>
  <si>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</si>
  <si>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</si>
  <si>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</si>
  <si>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</si>
  <si>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</si>
  <si>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</si>
  <si>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</si>
  <si>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</si>
  <si>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</si>
  <si>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</si>
  <si>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</si>
  <si>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</si>
  <si>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</si>
  <si>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</si>
  <si>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</si>
  <si>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</si>
  <si>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</si>
  <si>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</si>
  <si>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</si>
  <si>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</si>
  <si>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</si>
  <si>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</si>
  <si>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</si>
  <si>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</si>
  <si>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</si>
  <si>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</si>
  <si>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</si>
  <si>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</si>
  <si>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</si>
  <si>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</si>
  <si>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</si>
  <si>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</si>
  <si>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</si>
  <si>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</si>
  <si>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</si>
  <si>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</si>
  <si>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</si>
  <si>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</si>
  <si>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</si>
  <si>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</si>
  <si>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</si>
  <si>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</si>
  <si>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</si>
  <si>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</si>
  <si>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</si>
  <si>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</si>
  <si>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</si>
  <si>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</si>
  <si>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</si>
  <si>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</si>
  <si>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</si>
  <si>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</si>
  <si>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</si>
  <si>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</si>
  <si>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</si>
  <si>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</si>
  <si>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</si>
  <si>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</si>
  <si>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</si>
  <si>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</si>
  <si>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</si>
  <si>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</si>
  <si>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</si>
  <si>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</si>
  <si>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</si>
  <si>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</si>
  <si>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</si>
  <si>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</si>
  <si>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</si>
  <si>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</si>
  <si>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</si>
  <si>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</si>
  <si>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</si>
  <si>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</si>
  <si>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</si>
  <si>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</si>
  <si>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</si>
  <si>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</si>
  <si>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</si>
  <si>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</si>
  <si>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</si>
  <si>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</si>
  <si>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</si>
  <si>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</si>
  <si>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</si>
  <si>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</si>
  <si>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</si>
  <si>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</si>
  <si>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</si>
  <si>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</si>
  <si>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</si>
  <si>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</si>
  <si>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</si>
  <si>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</si>
  <si>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</si>
  <si>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</si>
  <si>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</si>
  <si>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</si>
  <si>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</si>
  <si>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</si>
  <si>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</si>
  <si>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</si>
  <si>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</si>
  <si>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</si>
  <si>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</si>
  <si>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</si>
  <si>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</si>
  <si>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</si>
  <si>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</si>
  <si>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</si>
  <si>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</si>
  <si>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</si>
  <si>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</si>
  <si>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</si>
  <si>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</si>
  <si>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</si>
  <si>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</si>
  <si>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</si>
  <si>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</si>
  <si>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</si>
  <si>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</si>
  <si>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</si>
  <si>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</si>
  <si>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</si>
  <si>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</si>
  <si>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</si>
  <si>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</si>
  <si>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</si>
  <si>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</si>
  <si>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</si>
  <si>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</si>
  <si>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</si>
  <si>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</si>
  <si>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</si>
  <si>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</si>
  <si>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</si>
  <si>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</si>
  <si>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</si>
  <si>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</si>
  <si>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</si>
  <si>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</si>
  <si>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</si>
  <si>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</si>
  <si>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</si>
  <si>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</si>
  <si>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</si>
  <si>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</si>
  <si>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</si>
  <si>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</si>
  <si>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</si>
  <si>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</si>
  <si>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</si>
  <si>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</si>
  <si>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</si>
  <si>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</si>
  <si>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</si>
  <si>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</si>
  <si>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</si>
  <si>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</si>
  <si>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</si>
  <si>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</si>
  <si>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</si>
  <si>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</si>
  <si>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</si>
  <si>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</si>
  <si>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</si>
  <si>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</si>
  <si>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</si>
  <si>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</si>
  <si>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</si>
  <si>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</si>
  <si>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</si>
  <si>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</si>
  <si>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</si>
  <si>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</si>
  <si>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</si>
  <si>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</si>
  <si>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</si>
  <si>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</si>
  <si>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</si>
  <si>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</si>
  <si>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</si>
  <si>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</si>
  <si>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</si>
  <si>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</si>
  <si>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</si>
  <si>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</si>
  <si>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</si>
  <si>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</si>
  <si>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</si>
  <si>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</si>
  <si>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</si>
  <si>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</si>
  <si>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</si>
  <si>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</si>
  <si>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</si>
  <si>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</si>
  <si>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</si>
  <si>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</si>
  <si>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</si>
  <si>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</si>
  <si>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</si>
  <si>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</si>
  <si>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</si>
  <si>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</si>
  <si>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</si>
  <si>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</si>
  <si>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</si>
  <si>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</si>
  <si>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</si>
  <si>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</si>
  <si>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</si>
  <si>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</si>
  <si>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</si>
  <si>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</si>
  <si>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</si>
  <si>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</si>
  <si>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</si>
  <si>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</si>
  <si>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</si>
  <si>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</si>
  <si>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</si>
  <si>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</si>
  <si>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</si>
  <si>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</si>
  <si>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</si>
  <si>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</si>
  <si>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</si>
  <si>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</si>
  <si>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</si>
  <si>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</si>
  <si>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</si>
  <si>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</si>
  <si>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</si>
  <si>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</si>
  <si>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</si>
  <si>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</si>
  <si>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</si>
  <si>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</si>
  <si>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</si>
  <si>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</si>
  <si>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</si>
  <si>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</si>
  <si>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</si>
  <si>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</si>
  <si>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</si>
  <si>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</si>
  <si>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</si>
  <si>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</si>
  <si>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</si>
  <si>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</si>
  <si>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</si>
  <si>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</si>
  <si>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</si>
  <si>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</si>
  <si>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</si>
  <si>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</si>
  <si>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</si>
  <si>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</si>
  <si>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</si>
  <si>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</si>
  <si>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</si>
  <si>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</si>
  <si>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</si>
  <si>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</si>
  <si>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</si>
  <si>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</si>
  <si>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</si>
  <si>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</si>
  <si>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</si>
  <si>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</si>
  <si>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</si>
  <si>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</si>
  <si>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</si>
  <si>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</si>
  <si>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</si>
  <si>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</si>
  <si>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</si>
  <si>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</si>
  <si>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</si>
  <si>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</si>
  <si>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</si>
  <si>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</si>
  <si>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</si>
  <si>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</si>
  <si>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</si>
  <si>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</si>
  <si>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</si>
  <si>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</si>
  <si>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</si>
  <si>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</si>
  <si>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</si>
  <si>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</si>
  <si>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</si>
  <si>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</si>
  <si>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</si>
  <si>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</si>
  <si>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</si>
  <si>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</si>
  <si>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</si>
  <si>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</si>
  <si>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</si>
  <si>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</si>
  <si>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</si>
  <si>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</si>
  <si>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</si>
  <si>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</si>
  <si>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</si>
  <si>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</si>
  <si>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</si>
  <si>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</si>
  <si>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</si>
  <si>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</si>
  <si>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</si>
  <si>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</si>
  <si>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</si>
  <si>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</si>
  <si>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</si>
  <si>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</si>
  <si>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</si>
  <si>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</si>
  <si>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</si>
  <si>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</si>
  <si>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</si>
  <si>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</si>
  <si>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</si>
  <si>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</si>
  <si>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</si>
  <si>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</si>
  <si>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</si>
  <si>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</si>
  <si>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</si>
  <si>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</si>
  <si>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</si>
  <si>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</si>
  <si>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</si>
  <si>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</si>
  <si>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</si>
  <si>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</si>
  <si>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</si>
  <si>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</si>
  <si>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</si>
  <si>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</si>
  <si>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</si>
  <si>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</si>
  <si>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</si>
  <si>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</si>
  <si>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</si>
  <si>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</si>
  <si>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</si>
  <si>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</si>
  <si>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</si>
  <si>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</si>
  <si>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</si>
  <si>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</si>
  <si>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</si>
  <si>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</si>
  <si>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</si>
  <si>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</si>
  <si>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</si>
  <si>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</si>
  <si>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</si>
  <si>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</si>
  <si>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</si>
  <si>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</si>
  <si>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</si>
  <si>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</si>
  <si>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</si>
  <si>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</si>
  <si>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</si>
  <si>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</si>
  <si>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</si>
  <si>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</si>
  <si>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</si>
  <si>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</si>
  <si>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</si>
  <si>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</si>
  <si>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</si>
  <si>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</si>
  <si>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</si>
  <si>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</si>
  <si>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</si>
  <si>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</si>
  <si>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</si>
  <si>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</si>
  <si>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</si>
  <si>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</si>
  <si>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</si>
  <si>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</si>
  <si>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</si>
  <si>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</si>
  <si>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</si>
  <si>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</si>
  <si>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</si>
  <si>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</si>
  <si>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</si>
  <si>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</si>
  <si>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</si>
  <si>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</si>
  <si>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</si>
  <si>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</si>
  <si>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</si>
  <si>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</si>
  <si>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</si>
  <si>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</si>
  <si>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</si>
  <si>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</si>
  <si>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</si>
  <si>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</si>
  <si>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</si>
  <si>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</si>
  <si>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</si>
  <si>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</si>
  <si>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</si>
  <si>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</si>
  <si>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</si>
  <si>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</si>
  <si>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</si>
  <si>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</si>
  <si>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</si>
  <si>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</si>
  <si>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</si>
  <si>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</si>
  <si>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</si>
  <si>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</si>
  <si>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</si>
  <si>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</si>
  <si>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</si>
  <si>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</si>
  <si>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</si>
  <si>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</si>
  <si>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</si>
  <si>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</si>
  <si>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</si>
  <si>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</si>
  <si>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</si>
  <si>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</si>
  <si>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</si>
  <si>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</si>
  <si>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</si>
  <si>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</si>
  <si>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</si>
  <si>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</si>
  <si>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</si>
  <si>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</si>
  <si>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</si>
  <si>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</si>
  <si>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</si>
  <si>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</si>
  <si>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</si>
  <si>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</si>
  <si>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</si>
  <si>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</si>
  <si>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</si>
  <si>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</si>
  <si>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</si>
  <si>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</si>
  <si>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</si>
  <si>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</si>
  <si>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</si>
  <si>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</si>
  <si>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</si>
  <si>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</si>
  <si>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</si>
  <si>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</si>
  <si>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</si>
  <si>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</si>
  <si>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</si>
  <si>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</si>
  <si>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</si>
  <si>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</si>
  <si>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</si>
  <si>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</si>
  <si>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</si>
  <si>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</si>
  <si>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</si>
  <si>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</si>
  <si>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</si>
  <si>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</si>
  <si>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</si>
  <si>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</si>
  <si>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</si>
  <si>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</si>
  <si>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</si>
  <si>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</si>
  <si>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</si>
  <si>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</si>
  <si>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</si>
  <si>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</si>
  <si>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</si>
  <si>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</si>
  <si>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</si>
  <si>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</si>
  <si>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</si>
  <si>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</si>
  <si>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</si>
  <si>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</si>
  <si>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</si>
  <si>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</si>
  <si>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</si>
  <si>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</si>
  <si>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</si>
  <si>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</si>
  <si>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</si>
  <si>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</si>
  <si>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</si>
  <si>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</si>
  <si>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</si>
  <si>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</si>
  <si>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</si>
  <si>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</si>
  <si>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</si>
  <si>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</si>
  <si>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</si>
  <si>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</si>
  <si>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</si>
  <si>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</si>
  <si>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</si>
  <si>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</si>
  <si>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</si>
  <si>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</si>
  <si>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</si>
  <si>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</si>
  <si>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</si>
  <si>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</si>
  <si>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</si>
  <si>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</si>
  <si>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</si>
  <si>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</si>
  <si>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</si>
  <si>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</si>
  <si>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</si>
  <si>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</si>
  <si>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</si>
  <si>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</si>
  <si>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</si>
  <si>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</si>
  <si>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</si>
  <si>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</si>
  <si>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</si>
  <si>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</si>
  <si>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</si>
  <si>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</si>
  <si>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</si>
  <si>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</si>
  <si>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</si>
  <si>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</si>
  <si>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</si>
  <si>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</si>
  <si>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</si>
  <si>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</si>
  <si>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</si>
  <si>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</si>
  <si>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</si>
  <si>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</si>
  <si>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</si>
  <si>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</si>
  <si>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</si>
  <si>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</si>
  <si>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</si>
  <si>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</si>
  <si>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</si>
  <si>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</si>
  <si>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</si>
  <si>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</si>
  <si>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</si>
  <si>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</si>
  <si>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</si>
  <si>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</si>
  <si>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</si>
  <si>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</si>
  <si>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</si>
  <si>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</si>
  <si>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</si>
  <si>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</si>
  <si>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</si>
  <si>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</si>
  <si>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</si>
  <si>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</si>
  <si>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</si>
  <si>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</si>
  <si>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</si>
  <si>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</si>
  <si>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</si>
  <si>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</si>
  <si>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</si>
  <si>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</si>
  <si>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</si>
  <si>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</si>
  <si>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</si>
  <si>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</si>
  <si>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</si>
  <si>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</si>
  <si>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</si>
  <si>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</si>
  <si>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</si>
  <si>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</si>
  <si>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</si>
  <si>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</si>
  <si>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</si>
  <si>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</si>
  <si>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</si>
  <si>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</si>
  <si>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</si>
  <si>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</si>
  <si>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</si>
  <si>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</si>
  <si>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</si>
  <si>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</si>
  <si>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</si>
  <si>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</si>
  <si>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</si>
  <si>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</si>
  <si>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</si>
  <si>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</si>
  <si>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</si>
  <si>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</si>
  <si>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</si>
  <si>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</si>
  <si>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</si>
  <si>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</si>
  <si>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</si>
  <si>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</si>
  <si>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</si>
  <si>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</si>
  <si>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</si>
  <si>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</si>
  <si>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</si>
  <si>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</si>
  <si>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</si>
  <si>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</si>
  <si>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</si>
  <si>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</si>
  <si>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</si>
  <si>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</si>
  <si>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</si>
  <si>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</si>
  <si>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</si>
  <si>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</si>
  <si>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</si>
  <si>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</si>
  <si>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</si>
  <si>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</si>
  <si>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</si>
  <si>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</si>
  <si>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</si>
  <si>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</si>
  <si>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</si>
  <si>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</si>
  <si>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</si>
  <si>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</si>
  <si>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</si>
  <si>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</si>
  <si>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</si>
  <si>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</si>
  <si>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</si>
  <si>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</si>
  <si>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</si>
  <si>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</si>
  <si>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</si>
  <si>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</si>
  <si>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</si>
  <si>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</si>
  <si>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</si>
  <si>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</si>
  <si>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</si>
  <si>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</si>
  <si>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</si>
  <si>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</si>
  <si>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</si>
  <si>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</si>
  <si>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</si>
  <si>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</si>
  <si>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</si>
  <si>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</si>
  <si>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</si>
  <si>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</si>
  <si>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</si>
  <si>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</si>
  <si>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</si>
  <si>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</si>
  <si>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</si>
  <si>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</si>
  <si>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</si>
  <si>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</si>
  <si>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</si>
  <si>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</si>
  <si>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</si>
  <si>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</si>
  <si>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</si>
  <si>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</si>
  <si>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</si>
  <si>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</si>
  <si>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</si>
  <si>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</si>
  <si>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</si>
  <si>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</si>
  <si>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</si>
  <si>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</si>
  <si>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</si>
  <si>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</si>
  <si>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</si>
  <si>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</si>
  <si>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</si>
  <si>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</si>
  <si>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</si>
  <si>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</si>
  <si>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</si>
  <si>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</si>
  <si>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</si>
  <si>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</si>
  <si>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</si>
  <si>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</si>
  <si>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</si>
  <si>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</si>
  <si>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</si>
  <si>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</si>
  <si>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</si>
  <si>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</si>
  <si>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</si>
  <si>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</si>
  <si>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</si>
  <si>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</si>
  <si>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</si>
  <si>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</si>
  <si>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</si>
  <si>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</si>
  <si>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</si>
  <si>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</si>
  <si>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</si>
  <si>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</si>
  <si>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</si>
  <si>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</si>
  <si>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</si>
  <si>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</si>
  <si>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</si>
  <si>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</si>
  <si>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</si>
  <si>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</si>
  <si>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</si>
  <si>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</si>
  <si>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</si>
  <si>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</si>
  <si>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</si>
  <si>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</si>
  <si>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</si>
  <si>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</si>
  <si>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</si>
  <si>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</si>
  <si>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</si>
  <si>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</si>
  <si>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</si>
  <si>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</si>
  <si>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</si>
  <si>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</si>
  <si>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</si>
  <si>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</si>
  <si>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</si>
  <si>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</si>
  <si>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</si>
  <si>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</si>
  <si>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</si>
  <si>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</si>
  <si>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</si>
  <si>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</si>
  <si>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</si>
  <si>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</si>
  <si>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</si>
  <si>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</si>
  <si>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</si>
  <si>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</si>
  <si>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</si>
  <si>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</si>
  <si>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</si>
  <si>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</si>
  <si>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</si>
  <si>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</si>
  <si>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</si>
  <si>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</si>
  <si>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</si>
  <si>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</si>
  <si>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</si>
  <si>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</si>
  <si>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</si>
  <si>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</si>
  <si>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</si>
  <si>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</si>
  <si>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</si>
  <si>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</si>
  <si>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</si>
  <si>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</si>
  <si>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</si>
  <si>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</si>
  <si>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</si>
  <si>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</si>
  <si>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</si>
  <si>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</si>
  <si>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</si>
  <si>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</si>
  <si>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</si>
  <si>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</si>
  <si>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</si>
  <si>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</si>
  <si>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</si>
  <si>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</si>
  <si>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</si>
  <si>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</si>
  <si>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</si>
  <si>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</si>
  <si>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</si>
  <si>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</si>
  <si>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</si>
  <si>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</si>
  <si>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</si>
  <si>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</si>
  <si>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</si>
  <si>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</si>
  <si>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</si>
  <si>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</si>
  <si>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</si>
  <si>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</si>
  <si>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</si>
  <si>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</si>
  <si>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</si>
  <si>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</si>
  <si>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</si>
  <si>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</si>
  <si>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</si>
  <si>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</si>
  <si>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</si>
  <si>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</si>
  <si>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</si>
  <si>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</si>
  <si>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</si>
  <si>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</si>
  <si>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</si>
  <si>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</si>
  <si>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</si>
  <si>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</si>
  <si>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</si>
  <si>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</si>
  <si>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</si>
  <si>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</si>
  <si>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</si>
  <si>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</si>
  <si>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</si>
  <si>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</si>
  <si>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</si>
  <si>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</si>
  <si>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</si>
  <si>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</si>
  <si>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</si>
  <si>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</si>
  <si>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</si>
  <si>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</si>
  <si>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</si>
  <si>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</si>
  <si>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</si>
  <si>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</si>
  <si>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</si>
  <si>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</si>
  <si>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</si>
  <si>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</si>
  <si>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</si>
  <si>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</si>
  <si>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</si>
  <si>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</si>
  <si>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</si>
  <si>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</si>
  <si>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</si>
  <si>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</si>
  <si>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</si>
  <si>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</si>
  <si>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</si>
  <si>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</si>
  <si>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</si>
  <si>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</si>
  <si>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</si>
  <si>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</si>
  <si>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</si>
  <si>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</si>
  <si>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</si>
  <si>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</si>
  <si>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</si>
  <si>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</si>
  <si>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</si>
  <si>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</si>
  <si>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</si>
  <si>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</si>
  <si>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</si>
  <si>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</si>
  <si>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</si>
  <si>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</si>
  <si>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</si>
  <si>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</si>
  <si>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</si>
  <si>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</si>
  <si>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</si>
  <si>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</si>
  <si>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</si>
  <si>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</si>
  <si>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</si>
  <si>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</si>
  <si>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</si>
  <si>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</si>
  <si>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</si>
  <si>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</si>
  <si>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</si>
  <si>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</si>
  <si>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</si>
  <si>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</si>
  <si>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</si>
  <si>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</si>
  <si>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</si>
  <si>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</si>
  <si>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</si>
  <si>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</si>
  <si>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</si>
  <si>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</si>
  <si>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</si>
  <si>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</si>
  <si>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</si>
  <si>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</si>
  <si>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</si>
  <si>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</si>
  <si>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</si>
  <si>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</si>
  <si>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</si>
  <si>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</si>
  <si>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</si>
  <si>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</si>
  <si>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</si>
  <si>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</si>
  <si>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</si>
  <si>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</si>
  <si>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</si>
  <si>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</si>
  <si>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</si>
  <si>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</si>
  <si>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</si>
  <si>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</si>
  <si>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</si>
  <si>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</si>
  <si>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</si>
  <si>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</si>
  <si>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</si>
  <si>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</si>
  <si>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</si>
  <si>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</si>
  <si>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</si>
  <si>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</si>
  <si>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</si>
  <si>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</si>
  <si>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</si>
  <si>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Phoenixx, L.P.</t>
  </si>
  <si>
    <t>PHOENIXX, L.P. is a trader of bundled tin ingots and does not manipulate the material or sell finished products or contracts to manufacture.</t>
  </si>
  <si>
    <t>Owner / President</t>
  </si>
  <si>
    <t>We require that the tin purchased from our direct suppliers is obtained from smelters that are certified DRC conflict-free.</t>
  </si>
  <si>
    <t>We verify that the smelter information detailed on the COA's from our suppliers are listed as conformant/compliant with the conflict-free smelter program assessment protocols via CFSI.</t>
  </si>
  <si>
    <t xml:space="preserve">We require that the tin purchased from our direct suppliers is obtained from smelters that are certified DRC conflict-free. </t>
  </si>
  <si>
    <t>3701 Beal Ave. Altoona, PA 16601</t>
  </si>
  <si>
    <t>Tricia Seymore</t>
  </si>
  <si>
    <t>tricia@amerway.com</t>
  </si>
  <si>
    <t>814-944-0200</t>
  </si>
  <si>
    <t>Terry Buck</t>
  </si>
  <si>
    <t>tbuck@amerway.com</t>
  </si>
  <si>
    <t>To the best of Amerway's knowledge, the answer is no.  Amerwayx does not purchase, receive or sell tin material from any of the covered countries.</t>
  </si>
  <si>
    <t>To the best of Amerway's knowledge, the answer is no.  Amerway does not purchase, receive or sell tin material from any of the covered countries.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</si>
</sst>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49" fontId="0" fillId="0" borderId="0" xfId="0" applyNumberFormat="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ricia@amerwa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buck@amerwa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4"/>
      <c r="B2" s="38" t="s">
        <v>870</v>
      </c>
      <c r="C2" s="36"/>
      <c r="D2" s="208"/>
      <c r="E2" s="3"/>
      <c r="F2" s="36"/>
      <c r="G2" s="34"/>
    </row>
    <row r="3" spans="1:7">
      <c r="A3" s="364"/>
      <c r="B3" s="5" t="s">
        <v>862</v>
      </c>
      <c r="C3" s="6"/>
      <c r="D3" s="209"/>
      <c r="E3" s="3"/>
      <c r="F3" s="6"/>
      <c r="G3" s="34"/>
    </row>
    <row r="4" spans="1:7" ht="15.75">
      <c r="A4" s="364"/>
      <c r="B4" s="41" t="s">
        <v>872</v>
      </c>
      <c r="C4" s="7"/>
      <c r="D4" s="210"/>
      <c r="E4" s="3"/>
      <c r="F4" s="7"/>
      <c r="G4" s="34"/>
    </row>
    <row r="5" spans="1:7">
      <c r="A5" s="364"/>
      <c r="B5" s="40" t="s">
        <v>1063</v>
      </c>
      <c r="C5" s="4"/>
      <c r="D5" s="211"/>
      <c r="E5" s="3"/>
      <c r="F5" s="4"/>
      <c r="G5" s="34"/>
    </row>
    <row r="6" spans="1:7">
      <c r="A6" s="364"/>
      <c r="B6" s="8"/>
      <c r="C6" s="8"/>
      <c r="D6" s="212"/>
      <c r="E6" s="8"/>
      <c r="F6" s="8"/>
      <c r="G6" s="34"/>
    </row>
    <row r="7" spans="1:7">
      <c r="A7" s="364"/>
      <c r="B7" s="8"/>
      <c r="C7" s="8"/>
      <c r="D7" s="212"/>
      <c r="E7" s="8"/>
      <c r="F7" s="8"/>
      <c r="G7" s="34"/>
    </row>
    <row r="8" spans="1:7">
      <c r="A8" s="364"/>
      <c r="B8" s="8"/>
      <c r="C8" s="8"/>
      <c r="D8" s="212"/>
      <c r="E8" s="8"/>
      <c r="F8" s="8"/>
      <c r="G8" s="34"/>
    </row>
    <row r="9" spans="1:7">
      <c r="A9" s="364"/>
      <c r="B9" s="367" t="s">
        <v>873</v>
      </c>
      <c r="C9" s="367"/>
      <c r="D9" s="367"/>
      <c r="E9" s="367"/>
      <c r="F9" s="367"/>
      <c r="G9" s="34"/>
    </row>
    <row r="10" spans="1:7" ht="27" customHeight="1">
      <c r="A10" s="364"/>
      <c r="B10" s="368" t="s">
        <v>448</v>
      </c>
      <c r="C10" s="368"/>
      <c r="D10" s="368"/>
      <c r="E10" s="368"/>
      <c r="F10" s="368"/>
      <c r="G10" s="34"/>
    </row>
    <row r="11" spans="1:7" ht="27" customHeight="1">
      <c r="A11" s="364"/>
      <c r="B11" s="369"/>
      <c r="C11" s="369"/>
      <c r="D11" s="369"/>
      <c r="E11" s="369"/>
      <c r="F11" s="369"/>
      <c r="G11" s="34"/>
    </row>
    <row r="12" spans="1:7">
      <c r="A12" s="364"/>
      <c r="B12" s="42" t="s">
        <v>871</v>
      </c>
      <c r="C12" s="43" t="s">
        <v>874</v>
      </c>
      <c r="D12" s="213" t="s">
        <v>875</v>
      </c>
      <c r="E12" s="43" t="s">
        <v>628</v>
      </c>
      <c r="F12" s="43" t="s">
        <v>629</v>
      </c>
      <c r="G12" s="34"/>
    </row>
    <row r="13" spans="1:7" ht="33.75">
      <c r="A13" s="364"/>
      <c r="B13" s="2">
        <v>1</v>
      </c>
      <c r="C13" s="37" t="s">
        <v>1111</v>
      </c>
      <c r="D13" s="39" t="s">
        <v>899</v>
      </c>
      <c r="E13" s="196" t="s">
        <v>876</v>
      </c>
      <c r="F13" s="196"/>
      <c r="G13" s="34"/>
    </row>
    <row r="14" spans="1:7" ht="33.75">
      <c r="A14" s="364"/>
      <c r="B14" s="2">
        <v>2</v>
      </c>
      <c r="C14" s="37" t="s">
        <v>1111</v>
      </c>
      <c r="D14" s="39" t="s">
        <v>1048</v>
      </c>
      <c r="E14" s="196" t="s">
        <v>540</v>
      </c>
      <c r="F14" s="196" t="s">
        <v>541</v>
      </c>
      <c r="G14" s="34"/>
    </row>
    <row r="15" spans="1:7" ht="89.1" customHeight="1">
      <c r="A15" s="364"/>
      <c r="B15" s="349">
        <v>2.0099999999999998</v>
      </c>
      <c r="C15" s="361" t="s">
        <v>1111</v>
      </c>
      <c r="D15" s="370" t="s">
        <v>2358</v>
      </c>
      <c r="E15" s="197" t="s">
        <v>630</v>
      </c>
      <c r="F15" s="197" t="s">
        <v>633</v>
      </c>
      <c r="G15" s="34"/>
    </row>
    <row r="16" spans="1:7" ht="99" customHeight="1">
      <c r="A16" s="364"/>
      <c r="B16" s="350"/>
      <c r="C16" s="362"/>
      <c r="D16" s="371"/>
      <c r="E16" s="198"/>
      <c r="F16" s="198" t="s">
        <v>631</v>
      </c>
      <c r="G16" s="34"/>
    </row>
    <row r="17" spans="1:7" ht="63" customHeight="1">
      <c r="A17" s="364"/>
      <c r="B17" s="351"/>
      <c r="C17" s="363"/>
      <c r="D17" s="372"/>
      <c r="E17" s="37"/>
      <c r="F17" s="37" t="s">
        <v>632</v>
      </c>
      <c r="G17" s="34"/>
    </row>
    <row r="18" spans="1:7" ht="117" customHeight="1">
      <c r="A18" s="364"/>
      <c r="B18" s="349">
        <v>2.02</v>
      </c>
      <c r="C18" s="361" t="s">
        <v>1111</v>
      </c>
      <c r="D18" s="370" t="s">
        <v>2359</v>
      </c>
      <c r="E18" s="197" t="s">
        <v>449</v>
      </c>
      <c r="F18" s="197" t="s">
        <v>535</v>
      </c>
      <c r="G18" s="34"/>
    </row>
    <row r="19" spans="1:7" ht="71.099999999999994" customHeight="1">
      <c r="A19" s="364"/>
      <c r="B19" s="350"/>
      <c r="C19" s="362"/>
      <c r="D19" s="371"/>
      <c r="E19" s="198" t="s">
        <v>539</v>
      </c>
      <c r="F19" s="198" t="s">
        <v>450</v>
      </c>
      <c r="G19" s="34"/>
    </row>
    <row r="20" spans="1:7" ht="90.75" customHeight="1">
      <c r="A20" s="364"/>
      <c r="B20" s="350"/>
      <c r="C20" s="362"/>
      <c r="D20" s="371"/>
      <c r="E20" s="198"/>
      <c r="F20" s="198" t="s">
        <v>635</v>
      </c>
      <c r="G20" s="34"/>
    </row>
    <row r="21" spans="1:7" ht="74.25" customHeight="1">
      <c r="A21" s="364"/>
      <c r="B21" s="351"/>
      <c r="C21" s="363"/>
      <c r="D21" s="372"/>
      <c r="E21" s="37"/>
      <c r="F21" s="37" t="s">
        <v>634</v>
      </c>
      <c r="G21" s="34"/>
    </row>
    <row r="22" spans="1:7" ht="90" customHeight="1">
      <c r="A22" s="364"/>
      <c r="B22" s="355">
        <v>2.0299999999999998</v>
      </c>
      <c r="C22" s="355" t="s">
        <v>845</v>
      </c>
      <c r="D22" s="358" t="s">
        <v>2360</v>
      </c>
      <c r="E22" s="361" t="s">
        <v>447</v>
      </c>
      <c r="F22" s="197" t="s">
        <v>470</v>
      </c>
      <c r="G22" s="34"/>
    </row>
    <row r="23" spans="1:7" ht="109.5" customHeight="1">
      <c r="A23" s="364"/>
      <c r="B23" s="356"/>
      <c r="C23" s="356"/>
      <c r="D23" s="359"/>
      <c r="E23" s="362"/>
      <c r="F23" s="198" t="s">
        <v>846</v>
      </c>
      <c r="G23" s="34"/>
    </row>
    <row r="24" spans="1:7" ht="74.25" customHeight="1">
      <c r="A24" s="364"/>
      <c r="B24" s="357"/>
      <c r="C24" s="357"/>
      <c r="D24" s="360"/>
      <c r="E24" s="363"/>
      <c r="F24" s="37" t="s">
        <v>446</v>
      </c>
      <c r="G24" s="34"/>
    </row>
    <row r="25" spans="1:7" ht="72" customHeight="1">
      <c r="A25" s="364"/>
      <c r="B25" s="2" t="s">
        <v>468</v>
      </c>
      <c r="C25" s="37" t="s">
        <v>469</v>
      </c>
      <c r="D25" s="39" t="s">
        <v>2361</v>
      </c>
      <c r="E25" s="37" t="s">
        <v>2356</v>
      </c>
      <c r="F25" s="37" t="s">
        <v>471</v>
      </c>
      <c r="G25" s="34"/>
    </row>
    <row r="26" spans="1:7" ht="98.1" customHeight="1">
      <c r="A26" s="364"/>
      <c r="B26" s="352">
        <v>3</v>
      </c>
      <c r="C26" s="349" t="s">
        <v>72</v>
      </c>
      <c r="D26" s="370" t="s">
        <v>2362</v>
      </c>
      <c r="E26" s="361" t="s">
        <v>0</v>
      </c>
      <c r="F26" s="197" t="s">
        <v>66</v>
      </c>
      <c r="G26" s="34"/>
    </row>
    <row r="27" spans="1:7" ht="90" customHeight="1">
      <c r="A27" s="364"/>
      <c r="B27" s="353"/>
      <c r="C27" s="350"/>
      <c r="D27" s="371"/>
      <c r="E27" s="362"/>
      <c r="F27" s="198" t="s">
        <v>61</v>
      </c>
      <c r="G27" s="34"/>
    </row>
    <row r="28" spans="1:7" ht="19.350000000000001" customHeight="1">
      <c r="A28" s="364"/>
      <c r="B28" s="353"/>
      <c r="C28" s="350"/>
      <c r="D28" s="371"/>
      <c r="E28" s="362"/>
      <c r="F28" s="198" t="s">
        <v>62</v>
      </c>
      <c r="G28" s="34"/>
    </row>
    <row r="29" spans="1:7" ht="74.45" customHeight="1">
      <c r="A29" s="364"/>
      <c r="B29" s="353"/>
      <c r="C29" s="350"/>
      <c r="D29" s="371"/>
      <c r="E29" s="362"/>
      <c r="F29" s="198" t="s">
        <v>63</v>
      </c>
      <c r="G29" s="34"/>
    </row>
    <row r="30" spans="1:7" ht="62.45" customHeight="1">
      <c r="A30" s="364"/>
      <c r="B30" s="353"/>
      <c r="C30" s="350"/>
      <c r="D30" s="371"/>
      <c r="E30" s="362"/>
      <c r="F30" s="198" t="s">
        <v>64</v>
      </c>
      <c r="G30" s="34"/>
    </row>
    <row r="31" spans="1:7" ht="81" customHeight="1">
      <c r="A31" s="364"/>
      <c r="B31" s="353"/>
      <c r="C31" s="350"/>
      <c r="D31" s="371"/>
      <c r="E31" s="362"/>
      <c r="F31" s="198" t="s">
        <v>65</v>
      </c>
      <c r="G31" s="34"/>
    </row>
    <row r="32" spans="1:7" ht="48.75" customHeight="1">
      <c r="A32" s="364"/>
      <c r="B32" s="353"/>
      <c r="C32" s="350"/>
      <c r="D32" s="371"/>
      <c r="E32" s="362"/>
      <c r="F32" s="198" t="s">
        <v>68</v>
      </c>
      <c r="G32" s="34"/>
    </row>
    <row r="33" spans="1:7" ht="98.45" customHeight="1">
      <c r="A33" s="364"/>
      <c r="B33" s="353"/>
      <c r="C33" s="350"/>
      <c r="D33" s="371"/>
      <c r="E33" s="362"/>
      <c r="F33" s="198" t="s">
        <v>67</v>
      </c>
      <c r="G33" s="34"/>
    </row>
    <row r="34" spans="1:7" ht="89.1" customHeight="1">
      <c r="A34" s="364"/>
      <c r="B34" s="353"/>
      <c r="C34" s="350"/>
      <c r="D34" s="371"/>
      <c r="E34" s="362"/>
      <c r="F34" s="198" t="s">
        <v>69</v>
      </c>
      <c r="G34" s="34"/>
    </row>
    <row r="35" spans="1:7" ht="29.1" customHeight="1">
      <c r="A35" s="364"/>
      <c r="B35" s="353"/>
      <c r="C35" s="350"/>
      <c r="D35" s="371"/>
      <c r="E35" s="362"/>
      <c r="F35" s="198" t="s">
        <v>70</v>
      </c>
      <c r="G35" s="34"/>
    </row>
    <row r="36" spans="1:7" ht="126.75">
      <c r="A36" s="364"/>
      <c r="B36" s="354"/>
      <c r="C36" s="351"/>
      <c r="D36" s="372"/>
      <c r="E36" s="363"/>
      <c r="F36" s="199" t="s">
        <v>71</v>
      </c>
      <c r="G36" s="34"/>
    </row>
    <row r="37" spans="1:7" ht="112.5">
      <c r="A37" s="364"/>
      <c r="B37" s="171">
        <v>3.01</v>
      </c>
      <c r="C37" s="172" t="s">
        <v>72</v>
      </c>
      <c r="D37" s="39" t="s">
        <v>2363</v>
      </c>
      <c r="E37" s="200" t="s">
        <v>1351</v>
      </c>
      <c r="F37" s="201" t="s">
        <v>1457</v>
      </c>
      <c r="G37" s="34"/>
    </row>
    <row r="38" spans="1:7" ht="101.25">
      <c r="A38" s="364"/>
      <c r="B38" s="171">
        <v>3.02</v>
      </c>
      <c r="C38" s="172" t="s">
        <v>1384</v>
      </c>
      <c r="D38" s="39" t="s">
        <v>2364</v>
      </c>
      <c r="E38" s="200" t="s">
        <v>1399</v>
      </c>
      <c r="F38" s="201" t="s">
        <v>1458</v>
      </c>
      <c r="G38" s="34"/>
    </row>
    <row r="39" spans="1:7" ht="101.25">
      <c r="A39" s="364"/>
      <c r="B39" s="182">
        <v>4</v>
      </c>
      <c r="C39" s="181" t="s">
        <v>1554</v>
      </c>
      <c r="D39" s="39" t="s">
        <v>2365</v>
      </c>
      <c r="E39" s="37" t="s">
        <v>2307</v>
      </c>
      <c r="F39" s="37" t="s">
        <v>1555</v>
      </c>
      <c r="G39" s="34"/>
    </row>
    <row r="40" spans="1:7" ht="56.25">
      <c r="A40" s="364"/>
      <c r="B40" s="171">
        <v>4.01</v>
      </c>
      <c r="C40" s="181" t="s">
        <v>1554</v>
      </c>
      <c r="D40" s="39" t="s">
        <v>2367</v>
      </c>
      <c r="E40" s="37" t="s">
        <v>2321</v>
      </c>
      <c r="F40" s="37" t="s">
        <v>2326</v>
      </c>
      <c r="G40" s="34"/>
    </row>
    <row r="41" spans="1:7" ht="56.25">
      <c r="A41" s="364"/>
      <c r="B41" s="171" t="s">
        <v>2354</v>
      </c>
      <c r="C41" s="181" t="s">
        <v>1554</v>
      </c>
      <c r="D41" s="39" t="s">
        <v>2366</v>
      </c>
      <c r="E41" s="37" t="s">
        <v>2357</v>
      </c>
      <c r="F41" s="37" t="s">
        <v>2355</v>
      </c>
      <c r="G41" s="34"/>
    </row>
    <row r="42" spans="1:7" ht="56.25">
      <c r="A42" s="364"/>
      <c r="B42" s="171" t="s">
        <v>2399</v>
      </c>
      <c r="C42" s="181" t="s">
        <v>1554</v>
      </c>
      <c r="D42" s="39" t="s">
        <v>2406</v>
      </c>
      <c r="E42" s="37" t="s">
        <v>2356</v>
      </c>
      <c r="F42" s="37" t="s">
        <v>2400</v>
      </c>
      <c r="G42" s="34"/>
    </row>
    <row r="43" spans="1:7" ht="123.75">
      <c r="A43" s="364"/>
      <c r="B43" s="193">
        <v>4.0999999999999996</v>
      </c>
      <c r="C43" s="181" t="s">
        <v>2405</v>
      </c>
      <c r="D43" s="194">
        <v>42867</v>
      </c>
      <c r="E43" s="202" t="s">
        <v>2408</v>
      </c>
      <c r="F43" s="37" t="s">
        <v>2407</v>
      </c>
      <c r="G43" s="34"/>
    </row>
    <row r="44" spans="1:7" ht="78.75">
      <c r="A44" s="364"/>
      <c r="B44" s="193">
        <v>4.2</v>
      </c>
      <c r="C44" s="181" t="s">
        <v>2405</v>
      </c>
      <c r="D44" s="194">
        <v>42704</v>
      </c>
      <c r="E44" s="202" t="s">
        <v>2625</v>
      </c>
      <c r="F44" s="37" t="s">
        <v>2598</v>
      </c>
      <c r="G44" s="34"/>
    </row>
    <row r="45" spans="1:7" ht="157.5">
      <c r="A45" s="364"/>
      <c r="B45" s="243">
        <v>5</v>
      </c>
      <c r="C45" s="181" t="s">
        <v>2405</v>
      </c>
      <c r="D45" s="194">
        <v>42867</v>
      </c>
      <c r="E45" s="202" t="s">
        <v>13032</v>
      </c>
      <c r="F45" s="37" t="s">
        <v>12754</v>
      </c>
      <c r="G45" s="34"/>
    </row>
    <row r="46" spans="1:7" ht="45">
      <c r="A46" s="364"/>
      <c r="B46" s="193">
        <v>5.01</v>
      </c>
      <c r="C46" s="181" t="s">
        <v>2405</v>
      </c>
      <c r="D46" s="194">
        <v>42907</v>
      </c>
      <c r="E46" s="202" t="s">
        <v>13052</v>
      </c>
      <c r="F46" s="37" t="s">
        <v>12754</v>
      </c>
      <c r="G46" s="34"/>
    </row>
    <row r="47" spans="1:7" ht="67.5">
      <c r="A47" s="364"/>
      <c r="B47" s="193">
        <v>5.0999999999999996</v>
      </c>
      <c r="C47" s="181" t="s">
        <v>2405</v>
      </c>
      <c r="D47" s="194">
        <v>43070</v>
      </c>
      <c r="E47" s="202" t="s">
        <v>13247</v>
      </c>
      <c r="F47" s="37" t="s">
        <v>13248</v>
      </c>
      <c r="G47" s="34"/>
    </row>
    <row r="48" spans="1:7" ht="56.25">
      <c r="A48" s="364"/>
      <c r="B48" s="193">
        <v>5.1100000000000003</v>
      </c>
      <c r="C48" s="181" t="s">
        <v>13489</v>
      </c>
      <c r="D48" s="194">
        <v>43217</v>
      </c>
      <c r="E48" s="202" t="s">
        <v>13617</v>
      </c>
      <c r="F48" s="37" t="s">
        <v>13523</v>
      </c>
      <c r="G48" s="34"/>
    </row>
    <row r="49" spans="1:7" ht="56.25">
      <c r="A49" s="364"/>
      <c r="B49" s="193">
        <v>5.12</v>
      </c>
      <c r="C49" s="181" t="s">
        <v>13489</v>
      </c>
      <c r="D49" s="194">
        <v>43581</v>
      </c>
      <c r="E49" s="202" t="s">
        <v>13617</v>
      </c>
      <c r="F49" s="37" t="s">
        <v>14191</v>
      </c>
      <c r="G49" s="34"/>
    </row>
    <row r="50" spans="1:7" ht="78.75">
      <c r="A50" s="364"/>
      <c r="B50" s="243">
        <v>6</v>
      </c>
      <c r="C50" s="181" t="s">
        <v>13489</v>
      </c>
      <c r="D50" s="194">
        <v>43964</v>
      </c>
      <c r="E50" s="202" t="s">
        <v>14433</v>
      </c>
      <c r="F50" s="37" t="s">
        <v>14204</v>
      </c>
      <c r="G50" s="34"/>
    </row>
    <row r="51" spans="1:7" ht="45">
      <c r="A51" s="364"/>
      <c r="B51" s="193">
        <v>6.01</v>
      </c>
      <c r="C51" s="181" t="s">
        <v>13489</v>
      </c>
      <c r="D51" s="194">
        <v>43970</v>
      </c>
      <c r="E51" s="202" t="s">
        <v>15503</v>
      </c>
      <c r="F51" s="202" t="s">
        <v>14204</v>
      </c>
      <c r="G51" s="34"/>
    </row>
    <row r="52" spans="1:7" ht="13.5" thickBot="1">
      <c r="A52" s="365"/>
      <c r="B52" s="366" t="str">
        <f ca="1">OFFSET(L!$C$1,MATCH("General"&amp;"Cpy",L!$A:$A,0)-1,SL,,)</f>
        <v>© 2020 Responsible Minerals Initiative. All rights reserved.</v>
      </c>
      <c r="C52" s="366"/>
      <c r="D52" s="366"/>
      <c r="E52" s="366"/>
      <c r="F52" s="366"/>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4"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3"/>
      <c r="B1" s="374"/>
      <c r="C1" s="374"/>
      <c r="D1" s="375"/>
    </row>
    <row r="2" spans="1:5" ht="71.25" customHeight="1">
      <c r="A2" s="87"/>
      <c r="B2" s="167" t="str">
        <f ca="1">OFFSET(L!$C$1,MATCH("Definitions"&amp;ADDRESS(ROW(),COLUMN(),4),L!$A:$A,0)-1,SL,,)</f>
        <v>ITEM</v>
      </c>
      <c r="C2" s="167" t="str">
        <f ca="1">OFFSET(L!$C$1,MATCH("Definitions"&amp;ADDRESS(ROW(),COLUMN(),4),L!$A:$A,0)-1,SL,,)</f>
        <v>DEFINITION</v>
      </c>
      <c r="D2" s="377"/>
      <c r="E2" s="127"/>
    </row>
    <row r="3" spans="1:5" ht="63.95" customHeight="1">
      <c r="A3" s="87"/>
      <c r="B3" s="74" t="str">
        <f ca="1">OFFSET(L!$C$1,MATCH("Definitions"&amp;ADDRESS(ROW(),COLUMN(),4),L!$A:$A,0)-1,SL,,)</f>
        <v>3TG</v>
      </c>
      <c r="C3" s="74" t="str">
        <f ca="1">OFFSET(L!$C$1,MATCH("Definitions"&amp;ADDRESS(ROW(),COLUMN(),4),L!$A:$A,0)-1,SL,,)</f>
        <v>Tantalum, tin, tungsten, gold</v>
      </c>
      <c r="D3" s="377"/>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7"/>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7"/>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7"/>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7"/>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7"/>
      <c r="E9" s="128" t="s">
        <v>1336</v>
      </c>
    </row>
    <row r="10" spans="1:5" ht="45">
      <c r="A10" s="87"/>
      <c r="B10" s="74" t="str">
        <f ca="1">OFFSET(L!$C$1,MATCH("Definitions"&amp;ADDRESS(ROW(),COLUMN(),4),L!$A:$A,0)-1,SL,,)</f>
        <v>DRC</v>
      </c>
      <c r="C10" s="74" t="str">
        <f ca="1">OFFSET(L!$C$1,MATCH("Definitions"&amp;ADDRESS(ROW(),COLUMN(),4),L!$A:$A,0)-1,SL,,)</f>
        <v>Democratic Republic of Congo</v>
      </c>
      <c r="D10" s="377"/>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7"/>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7"/>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7"/>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7"/>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7"/>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7"/>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7"/>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7"/>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7"/>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7"/>
      <c r="E20" s="128"/>
    </row>
    <row r="21" spans="1:5" ht="15">
      <c r="A21" s="87"/>
      <c r="B21" s="74" t="str">
        <f ca="1">OFFSET(L!$C$1,MATCH("Definitions"&amp;ADDRESS(ROW(),COLUMN(),4),L!$A:$A,0)-1,SL,,)</f>
        <v>RBA</v>
      </c>
      <c r="C21" s="74" t="str">
        <f ca="1">OFFSET(L!$C$1,MATCH("Definitions"&amp;ADDRESS(ROW(),COLUMN(),4),L!$A:$A,0)-1,SL,,)</f>
        <v>Responsible Business Alliance (www.responsiblebusiness.org)</v>
      </c>
      <c r="D21" s="37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7"/>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7"/>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7"/>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7"/>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7"/>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7"/>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7"/>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7"/>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7"/>
      <c r="E31" s="128"/>
    </row>
    <row r="32" spans="1:5" ht="15">
      <c r="A32" s="87"/>
      <c r="B32" s="376" t="str">
        <f ca="1">OFFSET(L!$C$1,MATCH("General"&amp;"Cpy",L!$A:$A,0)-1,SL,,)</f>
        <v>© 2020 Responsible Minerals Initiative. All rights reserved.</v>
      </c>
      <c r="C32" s="376"/>
      <c r="D32" s="377"/>
      <c r="E32" s="128"/>
    </row>
    <row r="33" spans="1:4" ht="13.5" thickBot="1">
      <c r="A33" s="88"/>
      <c r="B33" s="185"/>
      <c r="C33" s="185"/>
      <c r="D33" s="378"/>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61" zoomScalePageLayoutView="70" workbookViewId="0">
      <selection activeCell="G33" sqref="G33:J3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0"/>
      <c r="B1" s="411"/>
      <c r="C1" s="411"/>
      <c r="D1" s="411"/>
      <c r="E1" s="411"/>
      <c r="F1" s="411"/>
      <c r="G1" s="411"/>
      <c r="H1" s="411"/>
      <c r="I1" s="411"/>
      <c r="J1" s="411"/>
      <c r="K1" s="41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3" t="str">
        <f ca="1">OFFSET(L!$C$1,MATCH("Declaration"&amp;ADDRESS(ROW(),COLUMN(),4),L!$A:$A,0)-1,SL,,)</f>
        <v>Conflict Minerals Reporting Template (CMRT)</v>
      </c>
      <c r="E2" s="414"/>
      <c r="F2" s="414"/>
      <c r="G2" s="414"/>
      <c r="H2" s="414"/>
      <c r="I2" s="414"/>
      <c r="J2" s="41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3"/>
      <c r="G3" s="423"/>
      <c r="H3" s="423"/>
      <c r="I3" s="184"/>
      <c r="J3" s="168" t="s">
        <v>15505</v>
      </c>
      <c r="K3" s="47"/>
      <c r="L3" s="139"/>
      <c r="M3" s="130"/>
      <c r="N3" s="130"/>
      <c r="O3" s="131"/>
      <c r="P3" s="144">
        <f>MATCH($D$3,LN,0)</f>
        <v>1</v>
      </c>
    </row>
    <row r="4" spans="1:34" ht="15.75">
      <c r="A4" s="45"/>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8" t="str">
        <f ca="1">OFFSET(L!$C$1,MATCH("Declaration"&amp;ADDRESS(ROW(),COLUMN(),4),L!$A:$A,0)-1,SL,,)</f>
        <v>Company Information</v>
      </c>
      <c r="C7" s="428"/>
      <c r="D7" s="428"/>
      <c r="E7" s="428"/>
      <c r="F7" s="428"/>
      <c r="G7" s="428"/>
      <c r="H7" s="428"/>
      <c r="I7" s="428"/>
      <c r="J7" s="42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6" t="s">
        <v>15506</v>
      </c>
      <c r="E8" s="417"/>
      <c r="F8" s="417"/>
      <c r="G8" s="417"/>
      <c r="H8" s="417"/>
      <c r="I8" s="417"/>
      <c r="J8" s="41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5" t="s">
        <v>506</v>
      </c>
      <c r="E9" s="426"/>
      <c r="F9" s="426"/>
      <c r="G9" s="42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9" t="str">
        <f ca="1">OFFSET(L!$C$1,MATCH("Declaration"&amp;ADDRESS(ROW(),COLUMN(),4)&amp;LEFT($D$9,1),L!$A:$A,0)-1,SL,,)</f>
        <v>Description of Scope: (*)</v>
      </c>
      <c r="C10" s="151"/>
      <c r="D10" s="420" t="s">
        <v>15507</v>
      </c>
      <c r="E10" s="421"/>
      <c r="F10" s="421"/>
      <c r="G10" s="421"/>
      <c r="H10" s="421"/>
      <c r="I10" s="421"/>
      <c r="J10" s="42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0"/>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3"/>
      <c r="E12" s="404"/>
      <c r="F12" s="404"/>
      <c r="G12" s="404"/>
      <c r="H12" s="404"/>
      <c r="I12" s="404"/>
      <c r="J12" s="405"/>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3"/>
      <c r="E13" s="404"/>
      <c r="F13" s="404"/>
      <c r="G13" s="404"/>
      <c r="H13" s="404"/>
      <c r="I13" s="404"/>
      <c r="J13" s="40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3" t="s">
        <v>15512</v>
      </c>
      <c r="E14" s="404"/>
      <c r="F14" s="404"/>
      <c r="G14" s="404"/>
      <c r="H14" s="404"/>
      <c r="I14" s="404"/>
      <c r="J14" s="40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3" t="s">
        <v>15513</v>
      </c>
      <c r="E15" s="404"/>
      <c r="F15" s="404"/>
      <c r="G15" s="404"/>
      <c r="H15" s="404"/>
      <c r="I15" s="404"/>
      <c r="J15" s="40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1" t="s">
        <v>15514</v>
      </c>
      <c r="E16" s="432"/>
      <c r="F16" s="432"/>
      <c r="G16" s="432"/>
      <c r="H16" s="432"/>
      <c r="I16" s="432"/>
      <c r="J16" s="43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3" t="s">
        <v>15515</v>
      </c>
      <c r="E17" s="404"/>
      <c r="F17" s="404"/>
      <c r="G17" s="404"/>
      <c r="H17" s="404"/>
      <c r="I17" s="404"/>
      <c r="J17" s="40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3" t="s">
        <v>15516</v>
      </c>
      <c r="E18" s="404"/>
      <c r="F18" s="404"/>
      <c r="G18" s="404"/>
      <c r="H18" s="404"/>
      <c r="I18" s="404"/>
      <c r="J18" s="40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3" t="s">
        <v>15508</v>
      </c>
      <c r="E19" s="404"/>
      <c r="F19" s="404"/>
      <c r="G19" s="404"/>
      <c r="H19" s="404"/>
      <c r="I19" s="404"/>
      <c r="J19" s="40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1" t="s">
        <v>15517</v>
      </c>
      <c r="E20" s="432"/>
      <c r="F20" s="432"/>
      <c r="G20" s="432"/>
      <c r="H20" s="432"/>
      <c r="I20" s="432"/>
      <c r="J20" s="43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4" t="s">
        <v>15515</v>
      </c>
      <c r="E21" s="435"/>
      <c r="F21" s="435"/>
      <c r="G21" s="435"/>
      <c r="H21" s="435"/>
      <c r="I21" s="435"/>
      <c r="J21" s="43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7">
        <v>43986</v>
      </c>
      <c r="E22" s="438"/>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6"/>
      <c r="E23" s="40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1 - 8 based on the declaration scope indicated above</v>
      </c>
      <c r="C24" s="439"/>
      <c r="D24" s="439"/>
      <c r="E24" s="439"/>
      <c r="F24" s="439"/>
      <c r="G24" s="439"/>
      <c r="H24" s="439"/>
      <c r="I24" s="439"/>
      <c r="J24" s="43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2" t="s">
        <v>499</v>
      </c>
      <c r="E26" s="383"/>
      <c r="F26" s="15"/>
      <c r="G26" s="379"/>
      <c r="H26" s="380"/>
      <c r="I26" s="380"/>
      <c r="J26" s="38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2" t="s">
        <v>498</v>
      </c>
      <c r="E27" s="383"/>
      <c r="F27" s="15"/>
      <c r="G27" s="379"/>
      <c r="H27" s="380"/>
      <c r="I27" s="380"/>
      <c r="J27" s="38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2" t="s">
        <v>499</v>
      </c>
      <c r="E28" s="383"/>
      <c r="F28" s="15"/>
      <c r="G28" s="379"/>
      <c r="H28" s="380"/>
      <c r="I28" s="380"/>
      <c r="J28" s="381"/>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2" t="s">
        <v>499</v>
      </c>
      <c r="E29" s="383"/>
      <c r="F29" s="15"/>
      <c r="G29" s="379"/>
      <c r="H29" s="380"/>
      <c r="I29" s="380"/>
      <c r="J29" s="38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ustomHeight="1">
      <c r="A32" s="52"/>
      <c r="B32" s="51" t="str">
        <f ca="1">B26</f>
        <v xml:space="preserve">Tantalum  </v>
      </c>
      <c r="C32" s="13"/>
      <c r="D32" s="396"/>
      <c r="E32" s="397"/>
      <c r="F32" s="58"/>
      <c r="G32" s="379"/>
      <c r="H32" s="380"/>
      <c r="I32" s="380"/>
      <c r="J32" s="38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ustomHeight="1">
      <c r="A33" s="52"/>
      <c r="B33" s="51" t="str">
        <f ca="1">B27</f>
        <v>Tin  (*)</v>
      </c>
      <c r="C33" s="13"/>
      <c r="D33" s="382" t="s">
        <v>498</v>
      </c>
      <c r="E33" s="383"/>
      <c r="F33" s="58"/>
      <c r="G33" s="379"/>
      <c r="H33" s="380"/>
      <c r="I33" s="380"/>
      <c r="J33" s="38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2"/>
      <c r="E34" s="383"/>
      <c r="F34" s="58"/>
      <c r="G34" s="379"/>
      <c r="H34" s="380"/>
      <c r="I34" s="380"/>
      <c r="J34" s="38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2"/>
      <c r="E35" s="383"/>
      <c r="F35" s="58"/>
      <c r="G35" s="379"/>
      <c r="H35" s="380"/>
      <c r="I35" s="380"/>
      <c r="J35" s="38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2"/>
      <c r="I37" s="402"/>
      <c r="J37" s="402"/>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ustomHeight="1">
      <c r="A38" s="52"/>
      <c r="B38" s="51" t="str">
        <f ca="1">OFFSET(L!$C$1,MATCH("Declaration"&amp;ADDRESS(ROW(),COLUMN(),4),L!$A:$A,0)-1,SL,,)&amp;P38</f>
        <v xml:space="preserve">Tantalum  </v>
      </c>
      <c r="C38" s="13"/>
      <c r="D38" s="382"/>
      <c r="E38" s="383"/>
      <c r="F38" s="58"/>
      <c r="G38" s="379" t="s">
        <v>15519</v>
      </c>
      <c r="H38" s="380"/>
      <c r="I38" s="380"/>
      <c r="J38" s="38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ustomHeight="1">
      <c r="A39" s="52"/>
      <c r="B39" s="51" t="str">
        <f ca="1">OFFSET(L!$C$1,MATCH("Declaration"&amp;ADDRESS(ROW(),COLUMN(),4),L!$A:$A,0)-1,SL,,)&amp;P39</f>
        <v>Tin  (*)</v>
      </c>
      <c r="C39" s="13"/>
      <c r="D39" s="382" t="s">
        <v>499</v>
      </c>
      <c r="E39" s="383"/>
      <c r="F39" s="58"/>
      <c r="G39" s="379"/>
      <c r="H39" s="380"/>
      <c r="I39" s="380"/>
      <c r="J39" s="38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ustomHeight="1">
      <c r="A40" s="52"/>
      <c r="B40" s="51" t="str">
        <f ca="1">OFFSET(L!$C$1,MATCH("Declaration"&amp;ADDRESS(ROW(),COLUMN(),4),L!$A:$A,0)-1,SL,,)&amp;P40</f>
        <v xml:space="preserve">Gold  </v>
      </c>
      <c r="C40" s="13"/>
      <c r="D40" s="382"/>
      <c r="E40" s="383"/>
      <c r="F40" s="58"/>
      <c r="G40" s="379"/>
      <c r="H40" s="380"/>
      <c r="I40" s="380"/>
      <c r="J40" s="381"/>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2"/>
      <c r="E41" s="383"/>
      <c r="F41" s="58"/>
      <c r="G41" s="379"/>
      <c r="H41" s="380"/>
      <c r="I41" s="380"/>
      <c r="J41" s="38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2"/>
      <c r="E44" s="383"/>
      <c r="F44" s="58"/>
      <c r="G44" s="379" t="s">
        <v>15519</v>
      </c>
      <c r="H44" s="380"/>
      <c r="I44" s="380"/>
      <c r="J44" s="38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2" t="s">
        <v>499</v>
      </c>
      <c r="E45" s="383"/>
      <c r="F45" s="58"/>
      <c r="G45" s="379"/>
      <c r="H45" s="380"/>
      <c r="I45" s="380"/>
      <c r="J45" s="38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2"/>
      <c r="E46" s="383"/>
      <c r="F46" s="58"/>
      <c r="G46" s="379"/>
      <c r="H46" s="380"/>
      <c r="I46" s="380"/>
      <c r="J46" s="381"/>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2"/>
      <c r="E47" s="383"/>
      <c r="F47" s="58"/>
      <c r="G47" s="379"/>
      <c r="H47" s="380"/>
      <c r="I47" s="380"/>
      <c r="J47" s="38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ustomHeight="1">
      <c r="A50" s="52"/>
      <c r="B50" s="51" t="str">
        <f ca="1">B38</f>
        <v xml:space="preserve">Tantalum  </v>
      </c>
      <c r="C50" s="13"/>
      <c r="D50" s="382"/>
      <c r="E50" s="383"/>
      <c r="F50" s="58"/>
      <c r="G50" s="379" t="s">
        <v>15518</v>
      </c>
      <c r="H50" s="380"/>
      <c r="I50" s="380"/>
      <c r="J50" s="38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ustomHeight="1">
      <c r="A51" s="52"/>
      <c r="B51" s="51" t="str">
        <f ca="1">B39</f>
        <v>Tin  (*)</v>
      </c>
      <c r="C51" s="13"/>
      <c r="D51" s="382" t="s">
        <v>499</v>
      </c>
      <c r="E51" s="383"/>
      <c r="F51" s="58"/>
      <c r="G51" s="379"/>
      <c r="H51" s="380"/>
      <c r="I51" s="380"/>
      <c r="J51" s="38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ustomHeight="1">
      <c r="A52" s="52"/>
      <c r="B52" s="51" t="str">
        <f ca="1">B40</f>
        <v xml:space="preserve">Gold  </v>
      </c>
      <c r="C52" s="13"/>
      <c r="D52" s="382"/>
      <c r="E52" s="383"/>
      <c r="F52" s="58"/>
      <c r="G52" s="379"/>
      <c r="H52" s="380"/>
      <c r="I52" s="380"/>
      <c r="J52" s="38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2"/>
      <c r="E53" s="383"/>
      <c r="F53" s="58"/>
      <c r="G53" s="379"/>
      <c r="H53" s="380"/>
      <c r="I53" s="380"/>
      <c r="J53" s="38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ustomHeight="1">
      <c r="A56" s="52"/>
      <c r="B56" s="51" t="str">
        <f ca="1">B38</f>
        <v xml:space="preserve">Tantalum  </v>
      </c>
      <c r="C56" s="46"/>
      <c r="D56" s="399"/>
      <c r="E56" s="400"/>
      <c r="F56" s="58"/>
      <c r="G56" s="379" t="s">
        <v>15518</v>
      </c>
      <c r="H56" s="380"/>
      <c r="I56" s="380"/>
      <c r="J56" s="38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ustomHeight="1">
      <c r="A57" s="52"/>
      <c r="B57" s="51" t="str">
        <f ca="1">B39</f>
        <v>Tin  (*)</v>
      </c>
      <c r="C57" s="46"/>
      <c r="D57" s="399">
        <v>1</v>
      </c>
      <c r="E57" s="400"/>
      <c r="F57" s="58"/>
      <c r="G57" s="379"/>
      <c r="H57" s="380"/>
      <c r="I57" s="380"/>
      <c r="J57" s="38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ustomHeight="1">
      <c r="A58" s="52"/>
      <c r="B58" s="51" t="str">
        <f ca="1">B40</f>
        <v xml:space="preserve">Gold  </v>
      </c>
      <c r="C58" s="46"/>
      <c r="D58" s="399"/>
      <c r="E58" s="400"/>
      <c r="F58" s="58"/>
      <c r="G58" s="379"/>
      <c r="H58" s="380"/>
      <c r="I58" s="380"/>
      <c r="J58" s="38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9"/>
      <c r="E59" s="400"/>
      <c r="F59" s="58"/>
      <c r="G59" s="379"/>
      <c r="H59" s="380"/>
      <c r="I59" s="380"/>
      <c r="J59" s="38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401"/>
      <c r="I61" s="401"/>
      <c r="J61" s="40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79"/>
      <c r="H62" s="380"/>
      <c r="I62" s="380"/>
      <c r="J62" s="38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2" t="s">
        <v>498</v>
      </c>
      <c r="E63" s="383"/>
      <c r="F63" s="58"/>
      <c r="G63" s="379"/>
      <c r="H63" s="380"/>
      <c r="I63" s="380"/>
      <c r="J63" s="38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2"/>
      <c r="E64" s="383"/>
      <c r="F64" s="58"/>
      <c r="G64" s="379"/>
      <c r="H64" s="380"/>
      <c r="I64" s="380"/>
      <c r="J64" s="38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2"/>
      <c r="E65" s="383"/>
      <c r="F65" s="58"/>
      <c r="G65" s="379"/>
      <c r="H65" s="380"/>
      <c r="I65" s="380"/>
      <c r="J65" s="38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401" t="str">
        <f>IF(Q75="(*)","Click here to enter smelter names","")</f>
        <v/>
      </c>
      <c r="I67" s="401"/>
      <c r="J67" s="40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2"/>
      <c r="E68" s="383"/>
      <c r="F68" s="59"/>
      <c r="G68" s="379"/>
      <c r="H68" s="380"/>
      <c r="I68" s="380"/>
      <c r="J68" s="38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2" t="s">
        <v>498</v>
      </c>
      <c r="E69" s="383"/>
      <c r="F69" s="59"/>
      <c r="G69" s="379"/>
      <c r="H69" s="380"/>
      <c r="I69" s="380"/>
      <c r="J69" s="38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2"/>
      <c r="E70" s="383"/>
      <c r="F70" s="59"/>
      <c r="G70" s="379"/>
      <c r="H70" s="380"/>
      <c r="I70" s="380"/>
      <c r="J70" s="38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2"/>
      <c r="E71" s="383"/>
      <c r="F71" s="61"/>
      <c r="G71" s="379"/>
      <c r="H71" s="380"/>
      <c r="I71" s="380"/>
      <c r="J71" s="38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4" t="str">
        <f ca="1">OFFSET(L!$C$1,MATCH("Declaration"&amp;ADDRESS(ROW(),COLUMN(),4),L!$A:$A,0)-1,SL,,)</f>
        <v>Answer the Following Questions at a Company Level</v>
      </c>
      <c r="C73" s="384"/>
      <c r="D73" s="384"/>
      <c r="E73" s="384"/>
      <c r="F73" s="384"/>
      <c r="G73" s="384"/>
      <c r="H73" s="384"/>
      <c r="I73" s="384"/>
      <c r="J73" s="38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2" t="s">
        <v>498</v>
      </c>
      <c r="E75" s="383"/>
      <c r="F75" s="68"/>
      <c r="G75" s="379"/>
      <c r="H75" s="380"/>
      <c r="I75" s="380"/>
      <c r="J75" s="38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0"/>
      <c r="H76" s="390"/>
      <c r="I76" s="390"/>
      <c r="J76" s="39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2" t="s">
        <v>499</v>
      </c>
      <c r="E77" s="383"/>
      <c r="F77" s="68"/>
      <c r="G77" s="407"/>
      <c r="H77" s="408"/>
      <c r="I77" s="408"/>
      <c r="J77" s="40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2" t="s">
        <v>498</v>
      </c>
      <c r="E79" s="383"/>
      <c r="F79" s="68"/>
      <c r="G79" s="379" t="s">
        <v>15509</v>
      </c>
      <c r="H79" s="380"/>
      <c r="I79" s="380"/>
      <c r="J79" s="38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2" t="s">
        <v>498</v>
      </c>
      <c r="E81" s="383"/>
      <c r="F81" s="68"/>
      <c r="G81" s="379"/>
      <c r="H81" s="380"/>
      <c r="I81" s="380"/>
      <c r="J81" s="38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2" t="s">
        <v>499</v>
      </c>
      <c r="E83" s="383"/>
      <c r="F83" s="68"/>
      <c r="G83" s="379" t="s">
        <v>15510</v>
      </c>
      <c r="H83" s="380"/>
      <c r="I83" s="380"/>
      <c r="J83" s="38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8" t="s">
        <v>498</v>
      </c>
      <c r="E85" s="389"/>
      <c r="F85" s="68"/>
      <c r="G85" s="379" t="s">
        <v>15511</v>
      </c>
      <c r="H85" s="380"/>
      <c r="I85" s="380"/>
      <c r="J85" s="38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0"/>
      <c r="H86" s="390"/>
      <c r="I86" s="390"/>
      <c r="J86" s="39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2" t="s">
        <v>498</v>
      </c>
      <c r="E87" s="383"/>
      <c r="F87" s="68"/>
      <c r="G87" s="379"/>
      <c r="H87" s="380"/>
      <c r="I87" s="380"/>
      <c r="J87" s="38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1"/>
      <c r="H88" s="391"/>
      <c r="I88" s="391"/>
      <c r="J88" s="39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2" t="s">
        <v>499</v>
      </c>
      <c r="E89" s="383"/>
      <c r="F89" s="68"/>
      <c r="G89" s="379"/>
      <c r="H89" s="380"/>
      <c r="I89" s="380"/>
      <c r="J89" s="38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7" t="str">
        <f>IF(OR($D$8="",$I$3=""),"","Click here to check required fields completion")</f>
        <v/>
      </c>
      <c r="C90" s="387"/>
      <c r="D90" s="387"/>
      <c r="E90" s="387"/>
      <c r="F90" s="387"/>
      <c r="G90" s="387"/>
      <c r="H90" s="387"/>
      <c r="I90" s="387"/>
      <c r="J90" s="38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5" t="str">
        <f ca="1">OFFSET(L!$C$1,MATCH("General"&amp;"Cpy",L!$A:$A,0)-1,SL,,)</f>
        <v>© 2020 Responsible Minerals Initiative. All rights reserved.</v>
      </c>
      <c r="B91" s="386"/>
      <c r="C91" s="386"/>
      <c r="D91" s="386"/>
      <c r="E91" s="386"/>
      <c r="F91" s="386"/>
      <c r="G91" s="386"/>
      <c r="H91" s="386"/>
      <c r="I91" s="386"/>
      <c r="J91" s="38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0:J20"/>
    <mergeCell ref="D38:E38"/>
    <mergeCell ref="G39:J39"/>
    <mergeCell ref="G32:J32"/>
    <mergeCell ref="G29:J29"/>
    <mergeCell ref="D57:E57"/>
    <mergeCell ref="G27:J27"/>
    <mergeCell ref="D21:J21"/>
    <mergeCell ref="D26:E26"/>
    <mergeCell ref="D27:E27"/>
    <mergeCell ref="D22:E22"/>
    <mergeCell ref="B24:J24"/>
    <mergeCell ref="D52:E52"/>
    <mergeCell ref="G57:J57"/>
    <mergeCell ref="D55:E55"/>
    <mergeCell ref="D53:E53"/>
    <mergeCell ref="G51:J51"/>
    <mergeCell ref="D51:E51"/>
    <mergeCell ref="G50:J50"/>
    <mergeCell ref="G40:J40"/>
    <mergeCell ref="D69:E69"/>
    <mergeCell ref="D68:E68"/>
    <mergeCell ref="H67:J6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67:E67"/>
    <mergeCell ref="G65:J65"/>
    <mergeCell ref="G53:J53"/>
    <mergeCell ref="D59:E59"/>
    <mergeCell ref="D56:E56"/>
    <mergeCell ref="G56:J56"/>
    <mergeCell ref="D61:E61"/>
    <mergeCell ref="G70:J70"/>
    <mergeCell ref="D71:E71"/>
    <mergeCell ref="H61:J61"/>
    <mergeCell ref="G68:J68"/>
    <mergeCell ref="G71:J71"/>
    <mergeCell ref="G69:J69"/>
    <mergeCell ref="G58:J58"/>
    <mergeCell ref="G59:J59"/>
    <mergeCell ref="D58:E58"/>
    <mergeCell ref="D11:J11"/>
    <mergeCell ref="D34:E34"/>
    <mergeCell ref="D33:E33"/>
    <mergeCell ref="G34:J34"/>
    <mergeCell ref="G52:J52"/>
    <mergeCell ref="D65:E65"/>
    <mergeCell ref="D64:E64"/>
    <mergeCell ref="D63:E63"/>
    <mergeCell ref="G63:J63"/>
    <mergeCell ref="G64:J64"/>
    <mergeCell ref="D62:E62"/>
    <mergeCell ref="H37:J37"/>
    <mergeCell ref="D12:J12"/>
    <mergeCell ref="D19:J19"/>
    <mergeCell ref="D23:E23"/>
    <mergeCell ref="G33:J33"/>
    <mergeCell ref="D29:E29"/>
    <mergeCell ref="G26:J26"/>
    <mergeCell ref="G28:J28"/>
    <mergeCell ref="D28:E28"/>
    <mergeCell ref="D25:E25"/>
    <mergeCell ref="G41:J41"/>
    <mergeCell ref="D40:E40"/>
    <mergeCell ref="D41:E41"/>
    <mergeCell ref="A91:J91"/>
    <mergeCell ref="G85:J85"/>
    <mergeCell ref="B90:J90"/>
    <mergeCell ref="D81:E81"/>
    <mergeCell ref="D87:E87"/>
    <mergeCell ref="D85:E85"/>
    <mergeCell ref="D89:E89"/>
    <mergeCell ref="G86:J86"/>
    <mergeCell ref="G87:J87"/>
    <mergeCell ref="G88:J88"/>
    <mergeCell ref="G81:J81"/>
    <mergeCell ref="G75:J75"/>
    <mergeCell ref="D70:E70"/>
    <mergeCell ref="D75:E75"/>
    <mergeCell ref="B73:J73"/>
    <mergeCell ref="D83:E83"/>
    <mergeCell ref="G89:J89"/>
    <mergeCell ref="D79:E79"/>
    <mergeCell ref="G83:J83"/>
    <mergeCell ref="G79:J79"/>
    <mergeCell ref="D77:E77"/>
    <mergeCell ref="G74:I74"/>
    <mergeCell ref="D74:E74"/>
    <mergeCell ref="G76:J76"/>
  </mergeCells>
  <conditionalFormatting sqref="D75:E75 D77:E77 D79:E79 D81:E81 D85:E85 D87:E87 D89:E89 D83">
    <cfRule type="expression" dxfId="101" priority="66" stopIfTrue="1">
      <formula>AND(OR($D$26="No",AND($D$26="Yes",$D$32="No")),OR($D$27="No",AND($D$27="Yes",$D$33="No")),OR($D$28="No",AND($D$28="Yes",$D$34="No")),OR($D$29="No",AND($D$29="Yes",$D$35="No")))</formula>
    </cfRule>
    <cfRule type="expression" dxfId="100" priority="67" stopIfTrue="1">
      <formula>IF(D75="",TRUE)</formula>
    </cfRule>
  </conditionalFormatting>
  <conditionalFormatting sqref="G77:J77">
    <cfRule type="expression" dxfId="99" priority="38" stopIfTrue="1">
      <formula>IF(AND($D$77="Yes",$G$77=""),TRUE)</formula>
    </cfRule>
  </conditionalFormatting>
  <conditionalFormatting sqref="D26:E26">
    <cfRule type="expression" dxfId="98" priority="118" stopIfTrue="1">
      <formula>IF($D$26="",TRUE)</formula>
    </cfRule>
  </conditionalFormatting>
  <conditionalFormatting sqref="D27:E27">
    <cfRule type="expression" dxfId="97" priority="125" stopIfTrue="1">
      <formula>IF($D$27="",TRUE)</formula>
    </cfRule>
  </conditionalFormatting>
  <conditionalFormatting sqref="D28:E28">
    <cfRule type="expression" dxfId="96" priority="126" stopIfTrue="1">
      <formula>IF($D$28="",TRUE)</formula>
    </cfRule>
  </conditionalFormatting>
  <conditionalFormatting sqref="D29:E29">
    <cfRule type="expression" dxfId="95" priority="127" stopIfTrue="1">
      <formula>IF($D$29="",TRUE)</formula>
    </cfRule>
  </conditionalFormatting>
  <conditionalFormatting sqref="D8:J8">
    <cfRule type="expression" dxfId="94" priority="132" stopIfTrue="1">
      <formula>IF($D$8="",TRUE)</formula>
    </cfRule>
  </conditionalFormatting>
  <conditionalFormatting sqref="D9:G9">
    <cfRule type="expression" dxfId="93" priority="133" stopIfTrue="1">
      <formula>IF($D$9="",TRUE)</formula>
    </cfRule>
  </conditionalFormatting>
  <conditionalFormatting sqref="D15:J15">
    <cfRule type="expression" dxfId="92" priority="134" stopIfTrue="1">
      <formula>IF($D$15="",TRUE)</formula>
    </cfRule>
  </conditionalFormatting>
  <conditionalFormatting sqref="D16:J16">
    <cfRule type="expression" dxfId="91" priority="135" stopIfTrue="1">
      <formula>IF($D$16="",TRUE)</formula>
    </cfRule>
  </conditionalFormatting>
  <conditionalFormatting sqref="D17:J17">
    <cfRule type="expression" dxfId="90" priority="136" stopIfTrue="1">
      <formula>IF($D$17="",TRUE)</formula>
    </cfRule>
  </conditionalFormatting>
  <conditionalFormatting sqref="D18:J18">
    <cfRule type="expression" dxfId="89" priority="137" stopIfTrue="1">
      <formula>IF($D$18="",TRUE)</formula>
    </cfRule>
  </conditionalFormatting>
  <conditionalFormatting sqref="D22:E22">
    <cfRule type="expression" dxfId="88" priority="140" stopIfTrue="1">
      <formula>IF($D$22="",TRUE)</formula>
    </cfRule>
  </conditionalFormatting>
  <conditionalFormatting sqref="D34:E34 D40:E40 D52:E52 D58:E58 D64:E64 D70:E70">
    <cfRule type="expression" dxfId="87" priority="30" stopIfTrue="1">
      <formula>$P$28=""</formula>
    </cfRule>
  </conditionalFormatting>
  <conditionalFormatting sqref="D35:E35 D41:E41 D53:E53 D59:E59 D65:E65 D71:E71">
    <cfRule type="expression" dxfId="86" priority="145" stopIfTrue="1">
      <formula>$P$29=""</formula>
    </cfRule>
  </conditionalFormatting>
  <conditionalFormatting sqref="D32:E32">
    <cfRule type="expression" dxfId="85" priority="123" stopIfTrue="1">
      <formula>$P$26=""</formula>
    </cfRule>
  </conditionalFormatting>
  <conditionalFormatting sqref="D32:E32">
    <cfRule type="expression" dxfId="84" priority="36" stopIfTrue="1">
      <formula>IF(AND(OR($D$26="Yes",$D$26=""),$D$32=""),1,0)</formula>
    </cfRule>
  </conditionalFormatting>
  <conditionalFormatting sqref="D38 D50 D56 D62 D68">
    <cfRule type="expression" dxfId="83" priority="32" stopIfTrue="1">
      <formula>$P$32=""</formula>
    </cfRule>
  </conditionalFormatting>
  <conditionalFormatting sqref="D39:E39 D51 D57 D63 D69">
    <cfRule type="expression" dxfId="82" priority="31" stopIfTrue="1">
      <formula>$P$33=""</formula>
    </cfRule>
  </conditionalFormatting>
  <conditionalFormatting sqref="D40 D52 D58 D64 D70">
    <cfRule type="expression" dxfId="81" priority="21" stopIfTrue="1">
      <formula>$P$34=""</formula>
    </cfRule>
    <cfRule type="expression" dxfId="80" priority="143" stopIfTrue="1">
      <formula>IF(AND(OR($D$28="Yes",$D$28=""),D40=""),1,0)</formula>
    </cfRule>
  </conditionalFormatting>
  <conditionalFormatting sqref="D41 D53 D59 D65 D71">
    <cfRule type="expression" dxfId="79" priority="29" stopIfTrue="1">
      <formula>$P$35=""</formula>
    </cfRule>
  </conditionalFormatting>
  <conditionalFormatting sqref="D38:E38 D50:E50 D56:E56 D62:E62 D68:E68">
    <cfRule type="expression" dxfId="78" priority="34" stopIfTrue="1">
      <formula>$P$26=""</formula>
    </cfRule>
    <cfRule type="expression" dxfId="77" priority="35" stopIfTrue="1">
      <formula>IF(AND(OR($D$26="Yes",$D$26=""),D38=""),1,0)</formula>
    </cfRule>
  </conditionalFormatting>
  <conditionalFormatting sqref="D39:E39 D51:E51 D57:E57 D63:E63 D69:E69">
    <cfRule type="expression" dxfId="76" priority="141" stopIfTrue="1">
      <formula>$P$39=""</formula>
    </cfRule>
    <cfRule type="expression" dxfId="75" priority="142" stopIfTrue="1">
      <formula>IF(AND(OR($D$27="Yes",$D$27=""),D39=""),1,0)</formula>
    </cfRule>
  </conditionalFormatting>
  <conditionalFormatting sqref="D33:E33">
    <cfRule type="expression" dxfId="74" priority="23" stopIfTrue="1">
      <formula>IF(AND(OR($D$27="Yes",$D$27=""),$D$33=""),1,0)</formula>
    </cfRule>
    <cfRule type="expression" dxfId="73" priority="24" stopIfTrue="1">
      <formula>$P$27=""</formula>
    </cfRule>
  </conditionalFormatting>
  <conditionalFormatting sqref="D34:E34">
    <cfRule type="expression" dxfId="72" priority="144" stopIfTrue="1">
      <formula>IF(AND(OR($D$28="Yes",$D$28=""),$D$34=""),1,0)</formula>
    </cfRule>
  </conditionalFormatting>
  <conditionalFormatting sqref="D41:E41 D53:E53 D59:E59 D65:E65 D71:E71">
    <cfRule type="expression" dxfId="71" priority="146" stopIfTrue="1">
      <formula>IF(AND(OR($D$29="Yes",$D$29=""),D41=""),1,0)</formula>
    </cfRule>
  </conditionalFormatting>
  <conditionalFormatting sqref="D35:E35">
    <cfRule type="expression" dxfId="70" priority="20" stopIfTrue="1">
      <formula>IF(AND(OR($D$29="Yes",$D$29=""),$D$35=""),1,0)</formula>
    </cfRule>
  </conditionalFormatting>
  <conditionalFormatting sqref="D20:J20">
    <cfRule type="expression" dxfId="69" priority="16" stopIfTrue="1">
      <formula>IF($D$20="",TRUE)</formula>
    </cfRule>
  </conditionalFormatting>
  <conditionalFormatting sqref="D46:E46">
    <cfRule type="expression" dxfId="68" priority="6" stopIfTrue="1">
      <formula>$P$28=""</formula>
    </cfRule>
  </conditionalFormatting>
  <conditionalFormatting sqref="D47:E47">
    <cfRule type="expression" dxfId="67" priority="14" stopIfTrue="1">
      <formula>$P$29=""</formula>
    </cfRule>
  </conditionalFormatting>
  <conditionalFormatting sqref="D44">
    <cfRule type="expression" dxfId="66" priority="8" stopIfTrue="1">
      <formula>$P$32=""</formula>
    </cfRule>
  </conditionalFormatting>
  <conditionalFormatting sqref="D45">
    <cfRule type="expression" dxfId="65" priority="7" stopIfTrue="1">
      <formula>$P$33=""</formula>
    </cfRule>
  </conditionalFormatting>
  <conditionalFormatting sqref="D46">
    <cfRule type="expression" dxfId="64" priority="4" stopIfTrue="1">
      <formula>$P$34=""</formula>
    </cfRule>
    <cfRule type="expression" dxfId="63" priority="13" stopIfTrue="1">
      <formula>IF(AND(OR($D$28="Yes",$D$28=""),D46=""),1,0)</formula>
    </cfRule>
  </conditionalFormatting>
  <conditionalFormatting sqref="D47">
    <cfRule type="expression" dxfId="62" priority="5" stopIfTrue="1">
      <formula>$P$35=""</formula>
    </cfRule>
  </conditionalFormatting>
  <conditionalFormatting sqref="D44:E44">
    <cfRule type="expression" dxfId="61" priority="9" stopIfTrue="1">
      <formula>$P$26=""</formula>
    </cfRule>
    <cfRule type="expression" dxfId="60" priority="10" stopIfTrue="1">
      <formula>IF(AND(OR($D$26="Yes",$D$26=""),D44=""),1,0)</formula>
    </cfRule>
  </conditionalFormatting>
  <conditionalFormatting sqref="D45:E45">
    <cfRule type="expression" dxfId="59" priority="11" stopIfTrue="1">
      <formula>$P$39=""</formula>
    </cfRule>
    <cfRule type="expression" dxfId="58" priority="12" stopIfTrue="1">
      <formula>IF(AND(OR($D$27="Yes",$D$27=""),D45=""),1,0)</formula>
    </cfRule>
  </conditionalFormatting>
  <conditionalFormatting sqref="D47:E47">
    <cfRule type="expression" dxfId="57" priority="15" stopIfTrue="1">
      <formula>IF(AND(OR($D$29="Yes",$D$29=""),D47=""),1,0)</formula>
    </cfRule>
  </conditionalFormatting>
  <conditionalFormatting sqref="D10:J10">
    <cfRule type="expression" dxfId="56" priority="2" stopIfTrue="1">
      <formula>IF($D$9=$Q$9,TRUE)</formula>
    </cfRule>
    <cfRule type="expression" dxfId="55" priority="3" stopIfTrue="1">
      <formula>IF(AND($D$10="",$D$9=$R$9),TRUE)</formula>
    </cfRule>
  </conditionalFormatting>
  <conditionalFormatting sqref="G83:J83">
    <cfRule type="expression" dxfId="54" priority="1" stopIfTrue="1">
      <formula>IF(AND($D$79="Yes, using other format (describe)",$G$79=""),TRUE)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54121A70-8AF1-4A53-86A1-849217835867}"/>
    <hyperlink ref="D20" r:id="rId4" xr:uid="{EFDE67D9-F958-4BED-BE06-FB8757550B8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29" activePane="bottomLeft" state="frozen"/>
      <selection pane="bottomLeft" activeCell="B3" sqref="B3:E3"/>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3.9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216" t="s">
        <v>792</v>
      </c>
      <c r="B5" s="217" t="str">
        <f ca="1">IF(LEN(A5)=0,"",INDEX('Smelter Look-up'!$A:$A,MATCH($A5,'Smelter Look-up'!$E:$E,0)))</f>
        <v>Tin</v>
      </c>
      <c r="C5" s="221" t="str">
        <f ca="1">IF(LEN(A5)=0,"",INDEX('Smelter Look-up'!$C:$C,MATCH($A5,'Smelter Look-up'!$E:$E,0)))</f>
        <v>Malaysia Smelting Corporation (MSC)</v>
      </c>
      <c r="D5" s="283"/>
      <c r="E5" s="217" t="str">
        <f ca="1">IF(ISERROR($V5),"",OFFSET('Smelter Look-up'!$D$4,$V5-4,0)&amp;"")</f>
        <v>MALAYSIA</v>
      </c>
      <c r="F5" s="217" t="str">
        <f ca="1">IF(ISERROR($V5),"",OFFSET('Smelter Look-up'!$E$4,$V5-4,0))</f>
        <v>CID001105</v>
      </c>
      <c r="G5" s="217" t="str">
        <f ca="1">IF(C5=$X$4,"Enter smelter details",IF(ISERROR($V5),"",OFFSET('Smelter Look-up'!$F$4,$V5-4,0)))</f>
        <v>RMI</v>
      </c>
      <c r="H5" s="218">
        <f ca="1">IF(ISERROR($V5),"",OFFSET('Smelter Look-up'!$G$4,$V5-4,0))</f>
        <v>0</v>
      </c>
      <c r="I5" s="219" t="str">
        <f ca="1">IF(ISERROR($V5),"",OFFSET('Smelter Look-up'!$H$4,$V5-4,0))</f>
        <v>Butterworth</v>
      </c>
      <c r="J5" s="219" t="str">
        <f ca="1">IF(ISERROR($V5),"",OFFSET('Smelter Look-up'!$I$4,$V5-4,0))</f>
        <v>Pulau Pinang</v>
      </c>
      <c r="K5" s="273"/>
      <c r="L5" s="273"/>
      <c r="M5" s="273"/>
      <c r="N5" s="273"/>
      <c r="O5" s="273"/>
      <c r="P5" s="220"/>
      <c r="Q5" s="274"/>
      <c r="R5" s="217" t="str">
        <f ca="1">IF(ISERROR($V5),"",OFFSET('Smelter Look-up'!$C$4,$V5-4,0)&amp;"")</f>
        <v>Malaysia Smelting Corporation (MSC)</v>
      </c>
      <c r="S5" s="225" t="str">
        <f t="shared" ref="S5" ca="1" si="0">IF(B5="","",IF(ISERROR(MATCH($E5,CL,0)),"Unknown",INDIRECT("'C'!$A$"&amp;MATCH($E5,CL,0)+1)))</f>
        <v>MY</v>
      </c>
      <c r="T5" s="225" t="str">
        <f ca="1">IF(B5="","",IF(ISERROR(MATCH($J5,SorP!$B$1:$B$6230,0)),"",INDIRECT("'SorP'!$A$"&amp;MATCH($J5,SorP!$B$1:$B$6230,0))))</f>
        <v>MY-07</v>
      </c>
      <c r="U5" s="241"/>
      <c r="V5" s="275">
        <f ca="1">IF(C5="",NA(),MATCH($B5&amp;$C5,'Smelter Look-up'!$J:$J,0))</f>
        <v>414</v>
      </c>
      <c r="W5" s="276"/>
      <c r="X5" s="276">
        <f t="shared" ref="X5" ca="1" si="1">IF(AND(C5="Smelter not listed",OR(LEN(D5)=0,LEN(E5)=0)),1,0)</f>
        <v>0</v>
      </c>
      <c r="Y5" s="276"/>
      <c r="Z5" s="276"/>
      <c r="AB5" s="278" t="str">
        <f t="shared" ref="AB5" ca="1" si="2">B5&amp;C5</f>
        <v>TinMalaysia Smelting Corporation (MSC)</v>
      </c>
    </row>
    <row r="6" spans="1:34" s="277" customFormat="1" ht="20.100000000000001" customHeight="1">
      <c r="A6" s="216" t="s">
        <v>807</v>
      </c>
      <c r="B6" s="217" t="str">
        <f ca="1">IF(LEN(A6)=0,"",INDEX('Smelter Look-up'!$A:$A,MATCH($A6,'Smelter Look-up'!$E:$E,0)))</f>
        <v>Tin</v>
      </c>
      <c r="C6" s="221" t="str">
        <f ca="1">IF(LEN(A6)=0,"",INDEX('Smelter Look-up'!$C:$C,MATCH($A6,'Smelter Look-up'!$E:$E,0)))</f>
        <v>White Solder Metalurgia e Mineracao Ltda.</v>
      </c>
      <c r="D6" s="283"/>
      <c r="E6" s="217" t="str">
        <f ca="1">IF(ISERROR($V6),"",OFFSET('Smelter Look-up'!$D$4,$V6-4,0)&amp;"")</f>
        <v>BRAZIL</v>
      </c>
      <c r="F6" s="217" t="str">
        <f ca="1">IF(ISERROR($V6),"",OFFSET('Smelter Look-up'!$E$4,$V6-4,0))</f>
        <v>CID002036</v>
      </c>
      <c r="G6" s="217" t="str">
        <f ca="1">IF(C6=$X$4,"Enter smelter details",IF(ISERROR($V6),"",OFFSET('Smelter Look-up'!$F$4,$V6-4,0)))</f>
        <v>RMI</v>
      </c>
      <c r="H6" s="218">
        <f ca="1">IF(ISERROR($V6),"",OFFSET('Smelter Look-up'!$G$4,$V6-4,0))</f>
        <v>0</v>
      </c>
      <c r="I6" s="219" t="str">
        <f ca="1">IF(ISERROR($V6),"",OFFSET('Smelter Look-up'!$H$4,$V6-4,0))</f>
        <v>Ariquemes</v>
      </c>
      <c r="J6" s="219" t="str">
        <f ca="1">IF(ISERROR($V6),"",OFFSET('Smelter Look-up'!$I$4,$V6-4,0))</f>
        <v>Rondônia</v>
      </c>
      <c r="K6" s="273"/>
      <c r="L6" s="273"/>
      <c r="M6" s="273"/>
      <c r="N6" s="273"/>
      <c r="O6" s="273"/>
      <c r="P6" s="220"/>
      <c r="Q6" s="274"/>
      <c r="R6" s="217" t="str">
        <f ca="1">IF(ISERROR($V6),"",OFFSET('Smelter Look-up'!$C$4,$V6-4,0)&amp;"")</f>
        <v>White Solder Metalurgia e Mineracao Ltda.</v>
      </c>
      <c r="S6" s="225" t="str">
        <f t="shared" ref="S6:S37" ca="1" si="3">IF(B6="","",IF(ISERROR(MATCH($E6,CL,0)),"Unknown",INDIRECT("'C'!$A$"&amp;MATCH($E6,CL,0)+1)))</f>
        <v>BR</v>
      </c>
      <c r="T6" s="225" t="str">
        <f ca="1">IF(B6="","",IF(ISERROR(MATCH($J6,SorP!$B$1:$B$6230,0)),"",INDIRECT("'SorP'!$A$"&amp;MATCH($J6,SorP!$B$1:$B$6230,0))))</f>
        <v>BR-RO</v>
      </c>
      <c r="U6" s="241"/>
      <c r="V6" s="275">
        <f ca="1">IF(C6="",NA(),MATCH($B6&amp;$C6,'Smelter Look-up'!$J:$J,0))</f>
        <v>465</v>
      </c>
      <c r="W6" s="276"/>
      <c r="X6" s="276">
        <f t="shared" ref="X6:X37" ca="1" si="4">IF(AND(C6="Smelter not listed",OR(LEN(D6)=0,LEN(E6)=0)),1,0)</f>
        <v>0</v>
      </c>
      <c r="Y6" s="276"/>
      <c r="Z6" s="276"/>
      <c r="AB6" s="278" t="str">
        <f t="shared" ref="AB6:AB37" ca="1" si="5">B6&amp;C6</f>
        <v>TinWhite Solder Metalurgia e Mineracao Ltda.</v>
      </c>
    </row>
    <row r="7" spans="1:34" s="277" customFormat="1" ht="20.100000000000001" customHeight="1">
      <c r="A7" s="216" t="s">
        <v>793</v>
      </c>
      <c r="B7" s="217" t="str">
        <f ca="1">IF(LEN(A7)=0,"",INDEX('Smelter Look-up'!$A:$A,MATCH($A7,'Smelter Look-up'!$E:$E,0)))</f>
        <v>Tin</v>
      </c>
      <c r="C7" s="221" t="str">
        <f ca="1">IF(LEN(A7)=0,"",INDEX('Smelter Look-up'!$C:$C,MATCH($A7,'Smelter Look-up'!$E:$E,0)))</f>
        <v>Mineracao Taboca S.A.</v>
      </c>
      <c r="D7" s="283"/>
      <c r="E7" s="217" t="str">
        <f ca="1">IF(ISERROR($V7),"",OFFSET('Smelter Look-up'!$D$4,$V7-4,0)&amp;"")</f>
        <v>BRAZIL</v>
      </c>
      <c r="F7" s="217" t="str">
        <f ca="1">IF(ISERROR($V7),"",OFFSET('Smelter Look-up'!$E$4,$V7-4,0))</f>
        <v>CID001173</v>
      </c>
      <c r="G7" s="217" t="str">
        <f ca="1">IF(C7=$X$4,"Enter smelter details",IF(ISERROR($V7),"",OFFSET('Smelter Look-up'!$F$4,$V7-4,0)))</f>
        <v>RMI</v>
      </c>
      <c r="H7" s="218">
        <f ca="1">IF(ISERROR($V7),"",OFFSET('Smelter Look-up'!$G$4,$V7-4,0))</f>
        <v>0</v>
      </c>
      <c r="I7" s="219" t="str">
        <f ca="1">IF(ISERROR($V7),"",OFFSET('Smelter Look-up'!$H$4,$V7-4,0))</f>
        <v>Bairro Guarapiranga</v>
      </c>
      <c r="J7" s="219" t="str">
        <f ca="1">IF(ISERROR($V7),"",OFFSET('Smelter Look-up'!$I$4,$V7-4,0))</f>
        <v>São Paulo</v>
      </c>
      <c r="K7" s="273"/>
      <c r="L7" s="273"/>
      <c r="M7" s="273"/>
      <c r="N7" s="273"/>
      <c r="O7" s="273"/>
      <c r="P7" s="220"/>
      <c r="Q7" s="274"/>
      <c r="R7" s="217" t="str">
        <f ca="1">IF(ISERROR($V7),"",OFFSET('Smelter Look-up'!$C$4,$V7-4,0)&amp;"")</f>
        <v>Mineracao Taboca S.A.</v>
      </c>
      <c r="S7" s="225" t="str">
        <f t="shared" ca="1" si="3"/>
        <v>BR</v>
      </c>
      <c r="T7" s="225" t="str">
        <f ca="1">IF(B7="","",IF(ISERROR(MATCH($J7,SorP!$B$1:$B$6230,0)),"",INDIRECT("'SorP'!$A$"&amp;MATCH($J7,SorP!$B$1:$B$6230,0))))</f>
        <v>BR-SP</v>
      </c>
      <c r="U7" s="241"/>
      <c r="V7" s="275">
        <f ca="1">IF(C7="",NA(),MATCH($B7&amp;$C7,'Smelter Look-up'!$J:$J,0))</f>
        <v>421</v>
      </c>
      <c r="W7" s="276"/>
      <c r="X7" s="276">
        <f t="shared" ca="1" si="4"/>
        <v>0</v>
      </c>
      <c r="Y7" s="276"/>
      <c r="Z7" s="276"/>
      <c r="AB7" s="278" t="str">
        <f t="shared" ca="1" si="5"/>
        <v>TinMineracao Taboca S.A.</v>
      </c>
    </row>
    <row r="8" spans="1:34" s="277" customFormat="1" ht="20.100000000000001" customHeight="1">
      <c r="A8" s="216" t="s">
        <v>794</v>
      </c>
      <c r="B8" s="217" t="str">
        <f ca="1">IF(LEN(A8)=0,"",INDEX('Smelter Look-up'!$A:$A,MATCH($A8,'Smelter Look-up'!$E:$E,0)))</f>
        <v>Tin</v>
      </c>
      <c r="C8" s="221" t="str">
        <f ca="1">IF(LEN(A8)=0,"",INDEX('Smelter Look-up'!$C:$C,MATCH($A8,'Smelter Look-up'!$E:$E,0)))</f>
        <v>Minsur</v>
      </c>
      <c r="D8" s="283"/>
      <c r="E8" s="217" t="str">
        <f ca="1">IF(ISERROR($V8),"",OFFSET('Smelter Look-up'!$D$4,$V8-4,0)&amp;"")</f>
        <v>PERU</v>
      </c>
      <c r="F8" s="217" t="str">
        <f ca="1">IF(ISERROR($V8),"",OFFSET('Smelter Look-up'!$E$4,$V8-4,0))</f>
        <v>CID001182</v>
      </c>
      <c r="G8" s="217" t="str">
        <f ca="1">IF(C8=$X$4,"Enter smelter details",IF(ISERROR($V8),"",OFFSET('Smelter Look-up'!$F$4,$V8-4,0)))</f>
        <v>RMI</v>
      </c>
      <c r="H8" s="218">
        <f ca="1">IF(ISERROR($V8),"",OFFSET('Smelter Look-up'!$G$4,$V8-4,0))</f>
        <v>0</v>
      </c>
      <c r="I8" s="219" t="str">
        <f ca="1">IF(ISERROR($V8),"",OFFSET('Smelter Look-up'!$H$4,$V8-4,0))</f>
        <v>Paracas</v>
      </c>
      <c r="J8" s="219" t="str">
        <f ca="1">IF(ISERROR($V8),"",OFFSET('Smelter Look-up'!$I$4,$V8-4,0))</f>
        <v>Ika</v>
      </c>
      <c r="K8" s="273"/>
      <c r="L8" s="273"/>
      <c r="M8" s="273"/>
      <c r="N8" s="273"/>
      <c r="O8" s="273"/>
      <c r="P8" s="220"/>
      <c r="Q8" s="274"/>
      <c r="R8" s="217" t="str">
        <f ca="1">IF(ISERROR($V8),"",OFFSET('Smelter Look-up'!$C$4,$V8-4,0)&amp;"")</f>
        <v>Minsur</v>
      </c>
      <c r="S8" s="225" t="str">
        <f t="shared" ca="1" si="3"/>
        <v>PE</v>
      </c>
      <c r="T8" s="225" t="str">
        <f ca="1">IF(B8="","",IF(ISERROR(MATCH($J8,SorP!$B$1:$B$6230,0)),"",INDIRECT("'SorP'!$A$"&amp;MATCH($J8,SorP!$B$1:$B$6230,0))))</f>
        <v>PE-ICA</v>
      </c>
      <c r="U8" s="241"/>
      <c r="V8" s="275">
        <f ca="1">IF(C8="",NA(),MATCH($B8&amp;$C8,'Smelter Look-up'!$J:$J,0))</f>
        <v>424</v>
      </c>
      <c r="W8" s="276"/>
      <c r="X8" s="276">
        <f t="shared" ca="1" si="4"/>
        <v>0</v>
      </c>
      <c r="Y8" s="276"/>
      <c r="Z8" s="276"/>
      <c r="AB8" s="278" t="str">
        <f t="shared" ca="1" si="5"/>
        <v>TinMinsur</v>
      </c>
    </row>
    <row r="9" spans="1:34" s="277" customFormat="1" ht="20.100000000000001" customHeight="1">
      <c r="A9" s="348" t="s">
        <v>802</v>
      </c>
      <c r="B9" s="217" t="str">
        <f ca="1">IF(LEN(A9)=0,"",INDEX('Smelter Look-up'!$A:$A,MATCH($A9,'Smelter Look-up'!$E:$E,0)))</f>
        <v>Tin</v>
      </c>
      <c r="C9" s="221" t="str">
        <f ca="1">IF(LEN(A9)=0,"",INDEX('Smelter Look-up'!$C:$C,MATCH($A9,'Smelter Look-up'!$E:$E,0)))</f>
        <v>PT Timah Tbk Mentok</v>
      </c>
      <c r="D9" s="283"/>
      <c r="E9" s="217" t="str">
        <f ca="1">IF(ISERROR($V9),"",OFFSET('Smelter Look-up'!$D$4,$V9-4,0)&amp;"")</f>
        <v>INDONESIA</v>
      </c>
      <c r="F9" s="217" t="str">
        <f ca="1">IF(ISERROR($V9),"",OFFSET('Smelter Look-up'!$E$4,$V9-4,0))</f>
        <v>CID001482</v>
      </c>
      <c r="G9" s="217" t="str">
        <f ca="1">IF(C9=$X$4,"Enter smelter details",IF(ISERROR($V9),"",OFFSET('Smelter Look-up'!$F$4,$V9-4,0)))</f>
        <v>RMI</v>
      </c>
      <c r="H9" s="218">
        <f ca="1">IF(ISERROR($V9),"",OFFSET('Smelter Look-up'!$G$4,$V9-4,0))</f>
        <v>0</v>
      </c>
      <c r="I9" s="219" t="str">
        <f ca="1">IF(ISERROR($V9),"",OFFSET('Smelter Look-up'!$H$4,$V9-4,0))</f>
        <v>Mentok</v>
      </c>
      <c r="J9" s="219" t="str">
        <f ca="1">IF(ISERROR($V9),"",OFFSET('Smelter Look-up'!$I$4,$V9-4,0))</f>
        <v>Kepulauan Bangka Belitung</v>
      </c>
      <c r="K9" s="273"/>
      <c r="L9" s="273"/>
      <c r="M9" s="273"/>
      <c r="N9" s="273"/>
      <c r="O9" s="273"/>
      <c r="P9" s="220"/>
      <c r="Q9" s="274"/>
      <c r="R9" s="217" t="str">
        <f ca="1">IF(ISERROR($V9),"",OFFSET('Smelter Look-up'!$C$4,$V9-4,0)&amp;"")</f>
        <v>PT Timah Tbk Mentok</v>
      </c>
      <c r="S9" s="225" t="str">
        <f t="shared" ca="1" si="3"/>
        <v>ID</v>
      </c>
      <c r="T9" s="225" t="str">
        <f ca="1">IF(B9="","",IF(ISERROR(MATCH($J9,SorP!$B$1:$B$6230,0)),"",INDIRECT("'SorP'!$A$"&amp;MATCH($J9,SorP!$B$1:$B$6230,0))))</f>
        <v>ID-BB</v>
      </c>
      <c r="U9" s="241"/>
      <c r="V9" s="275">
        <f ca="1">IF(C9="",NA(),MATCH($B9&amp;$C9,'Smelter Look-up'!$J:$J,0))</f>
        <v>446</v>
      </c>
      <c r="W9" s="276"/>
      <c r="X9" s="276">
        <f t="shared" ca="1" si="4"/>
        <v>0</v>
      </c>
      <c r="Y9" s="276"/>
      <c r="Z9" s="276"/>
      <c r="AB9" s="278" t="str">
        <f t="shared" ca="1" si="5"/>
        <v>TinPT Timah Tbk Mentok</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6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Phoenixx, L.P.</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 (*)</v>
      </c>
      <c r="B6" s="102" t="str">
        <f>Declaration!D10</f>
        <v>PHOENIXX, L.P. is a trader of bundled tin ingots and does not manipulate the material or sell finished products or contracts to manufacture.</v>
      </c>
      <c r="C6" s="102" t="str">
        <f ca="1">IF(H6=1,J6,I6)</f>
        <v>Complete</v>
      </c>
      <c r="D6" s="108" t="str">
        <f>IF(H6=1,"Click here to provide a Description of Scope","")</f>
        <v/>
      </c>
      <c r="E6" s="84" t="s">
        <v>1330</v>
      </c>
      <c r="F6" s="107">
        <f>IF(OR(B5=Declaration!P9,B5=Declaration!Q9,B5=0),0,1)</f>
        <v>1</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Tricia Seymore</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tricia@amerway.com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814-944-0200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Terry Buck</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tbuck@amerway.com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43986</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No</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List'!AB$5:AB$2504,"Gold?*")&gt;0),0,1)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921</v>
      </c>
      <c r="C4" s="446"/>
      <c r="D4" s="446"/>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416" activePane="bottomLeft" state="frozen"/>
      <selection activeCell="A4" sqref="A4"/>
      <selection pane="bottomLeft" activeCell="E416" sqref="E416"/>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76FBB18FF89AF468B060A4B543FA1B3" ma:contentTypeVersion="10" ma:contentTypeDescription="Create a new document." ma:contentTypeScope="" ma:versionID="6fc5ead4f42b44d6682aea6d63a1f8b1">
  <xsd:schema xmlns:xsd="http://www.w3.org/2001/XMLSchema" xmlns:xs="http://www.w3.org/2001/XMLSchema" xmlns:p="http://schemas.microsoft.com/office/2006/metadata/properties" xmlns:ns2="fe2c228d-207a-4491-99b7-7493141daa1b" targetNamespace="http://schemas.microsoft.com/office/2006/metadata/properties" ma:root="true" ma:fieldsID="8b005abd40718fa2cf09da6c95a53fc4" ns2:_="">
    <xsd:import namespace="fe2c228d-207a-4491-99b7-7493141daa1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2c228d-207a-4491-99b7-7493141daa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DA6716F-6B28-4CBA-A809-950408F554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2c228d-207a-4491-99b7-7493141daa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fe2c228d-207a-4491-99b7-7493141daa1b"/>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user</cp:lastModifiedBy>
  <cp:lastPrinted>2015-04-21T20:47:43Z</cp:lastPrinted>
  <dcterms:created xsi:type="dcterms:W3CDTF">2010-06-21T21:00:23Z</dcterms:created>
  <dcterms:modified xsi:type="dcterms:W3CDTF">2020-07-22T18:55:53Z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0x010100C76FBB18FF89AF468B060A4B543FA1B3</vt:lpwstr>
  </property>
  <property fmtid="{D5CDD505-2E9C-101B-9397-08002B2CF9AE}" pid="4" name="Order">
    <vt:r8>100</vt:r8>
  </property>
</Properties>
</file>